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AD686603-E67B-450D-BD4F-E1FD3D6EB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H412" i="1"/>
  <c r="F412" i="1"/>
  <c r="E412" i="1"/>
  <c r="E411" i="1" s="1"/>
  <c r="E421" i="1" s="1"/>
  <c r="H411" i="1"/>
  <c r="H421" i="1" s="1"/>
  <c r="F411" i="1"/>
  <c r="F421" i="1" s="1"/>
  <c r="D389" i="1"/>
  <c r="I388" i="1"/>
  <c r="G388" i="1"/>
  <c r="H388" i="1" s="1"/>
  <c r="F388" i="1"/>
  <c r="I387" i="1"/>
  <c r="H387" i="1"/>
  <c r="G387" i="1"/>
  <c r="F387" i="1"/>
  <c r="I386" i="1"/>
  <c r="I384" i="1" s="1"/>
  <c r="G386" i="1"/>
  <c r="F386" i="1"/>
  <c r="F384" i="1" s="1"/>
  <c r="I385" i="1"/>
  <c r="G385" i="1"/>
  <c r="F385" i="1"/>
  <c r="G384" i="1"/>
  <c r="H384" i="1" s="1"/>
  <c r="I383" i="1"/>
  <c r="G383" i="1"/>
  <c r="H383" i="1" s="1"/>
  <c r="F383" i="1"/>
  <c r="I382" i="1"/>
  <c r="G382" i="1"/>
  <c r="H382" i="1" s="1"/>
  <c r="F382" i="1"/>
  <c r="I381" i="1"/>
  <c r="I378" i="1" s="1"/>
  <c r="I389" i="1" s="1"/>
  <c r="G381" i="1"/>
  <c r="H381" i="1" s="1"/>
  <c r="F381" i="1"/>
  <c r="F378" i="1" s="1"/>
  <c r="F389" i="1" s="1"/>
  <c r="I380" i="1"/>
  <c r="G380" i="1"/>
  <c r="H380" i="1" s="1"/>
  <c r="F380" i="1"/>
  <c r="I379" i="1"/>
  <c r="G379" i="1"/>
  <c r="H379" i="1" s="1"/>
  <c r="F379" i="1"/>
  <c r="G378" i="1"/>
  <c r="G389" i="1" s="1"/>
  <c r="E378" i="1"/>
  <c r="E389" i="1" s="1"/>
  <c r="D378" i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F352" i="1" s="1"/>
  <c r="E348" i="1"/>
  <c r="E352" i="1" s="1"/>
  <c r="D341" i="1"/>
  <c r="H296" i="1"/>
  <c r="F296" i="1"/>
  <c r="F297" i="1" s="1"/>
  <c r="G297" i="1" s="1"/>
  <c r="E296" i="1"/>
  <c r="H295" i="1"/>
  <c r="F295" i="1"/>
  <c r="E295" i="1"/>
  <c r="H294" i="1"/>
  <c r="H297" i="1" s="1"/>
  <c r="F294" i="1"/>
  <c r="E294" i="1"/>
  <c r="E297" i="1" s="1"/>
  <c r="F252" i="1"/>
  <c r="G252" i="1" s="1"/>
  <c r="H251" i="1"/>
  <c r="F251" i="1"/>
  <c r="E251" i="1"/>
  <c r="H250" i="1"/>
  <c r="F250" i="1"/>
  <c r="E250" i="1"/>
  <c r="H249" i="1"/>
  <c r="H252" i="1" s="1"/>
  <c r="F249" i="1"/>
  <c r="E249" i="1"/>
  <c r="E252" i="1" s="1"/>
  <c r="H207" i="1"/>
  <c r="D207" i="1"/>
  <c r="G206" i="1"/>
  <c r="H205" i="1"/>
  <c r="F205" i="1"/>
  <c r="G205" i="1" s="1"/>
  <c r="E205" i="1"/>
  <c r="H204" i="1"/>
  <c r="G204" i="1"/>
  <c r="F204" i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F184" i="1" s="1"/>
  <c r="E175" i="1"/>
  <c r="E184" i="1" s="1"/>
  <c r="D150" i="1"/>
  <c r="I148" i="1"/>
  <c r="G148" i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G139" i="1" s="1"/>
  <c r="F140" i="1"/>
  <c r="I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F135" i="1"/>
  <c r="I134" i="1"/>
  <c r="I133" i="1" s="1"/>
  <c r="F134" i="1"/>
  <c r="F133" i="1" s="1"/>
  <c r="E134" i="1"/>
  <c r="E133" i="1"/>
  <c r="E150" i="1" s="1"/>
  <c r="I132" i="1"/>
  <c r="H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H129" i="1" s="1"/>
  <c r="F129" i="1"/>
  <c r="F128" i="1" s="1"/>
  <c r="F150" i="1" s="1"/>
  <c r="E128" i="1"/>
  <c r="C126" i="1"/>
  <c r="H106" i="1"/>
  <c r="I105" i="1"/>
  <c r="G105" i="1"/>
  <c r="H105" i="1" s="1"/>
  <c r="F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G96" i="1" s="1"/>
  <c r="G95" i="1" s="1"/>
  <c r="F97" i="1"/>
  <c r="I96" i="1"/>
  <c r="I95" i="1" s="1"/>
  <c r="F96" i="1"/>
  <c r="F95" i="1" s="1"/>
  <c r="E96" i="1"/>
  <c r="E95" i="1" s="1"/>
  <c r="D96" i="1"/>
  <c r="D95" i="1"/>
  <c r="D107" i="1" s="1"/>
  <c r="I94" i="1"/>
  <c r="G94" i="1"/>
  <c r="H94" i="1" s="1"/>
  <c r="H92" i="1" s="1"/>
  <c r="F94" i="1"/>
  <c r="I93" i="1"/>
  <c r="I92" i="1" s="1"/>
  <c r="I107" i="1" s="1"/>
  <c r="G93" i="1"/>
  <c r="H93" i="1" s="1"/>
  <c r="F93" i="1"/>
  <c r="F92" i="1" s="1"/>
  <c r="F107" i="1" s="1"/>
  <c r="G92" i="1"/>
  <c r="E92" i="1"/>
  <c r="E107" i="1" s="1"/>
  <c r="C89" i="1"/>
  <c r="H85" i="1"/>
  <c r="F85" i="1"/>
  <c r="D85" i="1"/>
  <c r="G61" i="1"/>
  <c r="G60" i="1"/>
  <c r="H55" i="1"/>
  <c r="I32" i="1" s="1"/>
  <c r="G55" i="1"/>
  <c r="F55" i="1"/>
  <c r="G32" i="1" s="1"/>
  <c r="H32" i="1" s="1"/>
  <c r="E55" i="1"/>
  <c r="E44" i="1"/>
  <c r="D44" i="1"/>
  <c r="H43" i="1"/>
  <c r="H42" i="1"/>
  <c r="I41" i="1"/>
  <c r="H41" i="1"/>
  <c r="G41" i="1"/>
  <c r="F41" i="1"/>
  <c r="H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G35" i="1"/>
  <c r="H35" i="1" s="1"/>
  <c r="F35" i="1"/>
  <c r="I33" i="1"/>
  <c r="G33" i="1"/>
  <c r="H33" i="1" s="1"/>
  <c r="F33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I27" i="1" s="1"/>
  <c r="G28" i="1"/>
  <c r="F28" i="1"/>
  <c r="I25" i="1"/>
  <c r="G25" i="1"/>
  <c r="H25" i="1" s="1"/>
  <c r="H23" i="1" s="1"/>
  <c r="F25" i="1"/>
  <c r="F23" i="1" s="1"/>
  <c r="I24" i="1"/>
  <c r="H24" i="1"/>
  <c r="G24" i="1"/>
  <c r="G23" i="1" s="1"/>
  <c r="F24" i="1"/>
  <c r="I23" i="1"/>
  <c r="H16" i="1"/>
  <c r="F16" i="1"/>
  <c r="D16" i="1"/>
  <c r="F27" i="1" l="1"/>
  <c r="F34" i="1"/>
  <c r="F26" i="1" s="1"/>
  <c r="I34" i="1"/>
  <c r="I26" i="1" s="1"/>
  <c r="I44" i="1" s="1"/>
  <c r="G27" i="1"/>
  <c r="H28" i="1"/>
  <c r="H27" i="1" s="1"/>
  <c r="G184" i="1"/>
  <c r="G352" i="1"/>
  <c r="H378" i="1"/>
  <c r="H389" i="1" s="1"/>
  <c r="F44" i="1"/>
  <c r="H128" i="1"/>
  <c r="G107" i="1"/>
  <c r="G34" i="1"/>
  <c r="G128" i="1"/>
  <c r="G134" i="1"/>
  <c r="G133" i="1" s="1"/>
  <c r="G175" i="1"/>
  <c r="H97" i="1"/>
  <c r="H96" i="1" s="1"/>
  <c r="H95" i="1" s="1"/>
  <c r="H107" i="1" s="1"/>
  <c r="H140" i="1"/>
  <c r="H139" i="1" s="1"/>
  <c r="H133" i="1" s="1"/>
  <c r="F207" i="1"/>
  <c r="G207" i="1" s="1"/>
  <c r="G348" i="1"/>
  <c r="G26" i="1" l="1"/>
  <c r="G44" i="1" s="1"/>
  <c r="H34" i="1"/>
  <c r="H26" i="1" s="1"/>
  <c r="H44" i="1" s="1"/>
  <c r="G150" i="1"/>
  <c r="H150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<sst xmlns="http://schemas.openxmlformats.org/spreadsheetml/2006/main" count="358" uniqueCount="150">
  <si>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</si>
  <si>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</si>
  <si>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</si>
  <si>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</si>
  <si>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</si>
  <si>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</si>
  <si>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</si>
  <si>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</si>
  <si>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</si>
  <si>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</si>
  <si>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</si>
  <si>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</si>
  <si>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</si>
  <si>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</si>
  <si>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</si>
  <si>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</si>
  <si>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</si>
  <si>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</si>
  <si>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</si>
  <si>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</si>
  <si>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</si>
  <si>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</si>
  <si>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</si>
  <si>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</si>
  <si>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</si>
  <si>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</si>
  <si>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</si>
  <si>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</si>
  <si>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</si>
  <si>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</si>
  <si>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</si>
  <si>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</si>
  <si>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</si>
  <si>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</si>
  <si>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</si>
  <si>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</si>
  <si>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</si>
  <si>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</si>
  <si>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</si>
  <si>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</si>
  <si>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</si>
  <si>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</si>
  <si>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</si>
  <si>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</si>
  <si>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</si>
  <si>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</si>
  <si>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</si>
  <si>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</si>
  <si>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</si>
  <si>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</si>
  <si>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</si>
  <si>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</si>
  <si>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</si>
  <si>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</si>
  <si>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</si>
  <si>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</si>
  <si>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</si>
  <si>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</si>
  <si>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</si>
  <si>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</si>
  <si>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</si>
  <si>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</si>
  <si>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</si>
  <si>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</si>
  <si>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</si>
  <si>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</si>
  <si>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</si>
  <si>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</si>
  <si>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</si>
  <si>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</si>
  <si>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</si>
  <si>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</si>
  <si>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</si>
  <si>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</si>
  <si>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</si>
  <si>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</si>
  <si>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</si>
  <si>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</si>
  <si>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</si>
  <si>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</si>
  <si>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</si>
  <si>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</si>
  <si>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</si>
  <si>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</si>
  <si>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</si>
  <si>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</si>
  <si>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</si>
  <si>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</si>
  <si>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</si>
  <si>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</si>
  <si>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</si>
  <si>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</si>
  <si>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</si>
  <si>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</si>
  <si>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</si>
  <si>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</si>
  <si>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</si>
  <si>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</si>
  <si>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</si>
  <si>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</si>
  <si>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</si>
  <si>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</si>
  <si>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</si>
  <si>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</si>
  <si>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</si>
  <si>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</si>
  <si>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</si>
  <si>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</si>
  <si>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</si>
  <si>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</si>
  <si>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</si>
  <si>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</si>
  <si>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</si>
  <si>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</si>
  <si>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</si>
  <si>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</si>
  <si>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</si>
  <si>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</si>
  <si>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</si>
  <si>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</si>
  <si>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</si>
  <si>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</si>
  <si>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</si>
  <si>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</si>
  <si>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</si>
  <si>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</si>
  <si>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</si>
  <si>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</si>
  <si>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</si>
  <si>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</si>
  <si>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</si>
  <si>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</si>
  <si>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</si>
  <si>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</si>
  <si>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</si>
  <si>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</si>
  <si>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</si>
  <si>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</si>
  <si>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</si>
  <si>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</si>
  <si>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</si>
  <si>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</si>
  <si>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43</t>
  </si>
  <si>
    <t>FANGST T.O.M UKE 43</t>
  </si>
  <si>
    <t>RESTKVOTER UKE 43</t>
  </si>
  <si>
    <t>FANGST T.O.M UKE 43 2022</t>
  </si>
  <si>
    <r>
      <t>3</t>
    </r>
    <r>
      <rPr>
        <sz val="9"/>
        <color indexed="8"/>
        <rFont val="Calibri"/>
        <family val="2"/>
      </rPr>
      <t xml:space="preserve"> Det er fisket 7 142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</si>
  <si>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717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</si>
  <si>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</si>
  <si>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673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</si>
</sst>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D7" sqref="D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139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204.04488000000001</v>
      </c>
      <c r="G23" s="28">
        <f t="shared" si="0"/>
        <v>65175.972049999997</v>
      </c>
      <c r="H23" s="11">
        <f t="shared" si="0"/>
        <v>21651.027950000003</v>
      </c>
      <c r="I23" s="11">
        <f t="shared" si="0"/>
        <v>82143.396550000005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137.71188</f>
        <v>137.71188000000001</v>
      </c>
      <c r="G24" s="23">
        <f>64618.5862</f>
        <v>64618.586199999998</v>
      </c>
      <c r="H24" s="23">
        <f>E24-G24</f>
        <v>21426.413800000002</v>
      </c>
      <c r="I24" s="23">
        <f>81560.82725</f>
        <v>81560.827250000002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66.333</f>
        <v>66.332999999999998</v>
      </c>
      <c r="G25" s="23">
        <f>557.38585</f>
        <v>557.38585</v>
      </c>
      <c r="H25" s="23">
        <f>E25-G25</f>
        <v>224.61415</v>
      </c>
      <c r="I25" s="23">
        <f>582.5693</f>
        <v>582.5693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988.78505000000007</v>
      </c>
      <c r="G26" s="11">
        <f t="shared" si="1"/>
        <v>179430.28688</v>
      </c>
      <c r="H26" s="11">
        <f t="shared" si="1"/>
        <v>18139.713119999997</v>
      </c>
      <c r="I26" s="11">
        <f t="shared" si="1"/>
        <v>218920.07766000001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723.28487000000007</v>
      </c>
      <c r="G27" s="134">
        <f t="shared" ref="G27:I27" si="2">G28+G29+G30+G31+G32</f>
        <v>141322.23014</v>
      </c>
      <c r="H27" s="134">
        <f t="shared" si="2"/>
        <v>11328.769859999997</v>
      </c>
      <c r="I27" s="134">
        <f t="shared" si="2"/>
        <v>176632.50232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202.22944</f>
        <v>202.22944000000001</v>
      </c>
      <c r="G28" s="129">
        <f>37694.10042 - F57</f>
        <v>35545.100420000002</v>
      </c>
      <c r="H28" s="129">
        <f t="shared" ref="H28:H40" si="3">E28-G28</f>
        <v>4003.8995799999975</v>
      </c>
      <c r="I28" s="129">
        <f>44099.58366 - H57</f>
        <v>41310.583659999997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246.30223</f>
        <v>246.30223000000001</v>
      </c>
      <c r="G29" s="129">
        <f>40536.21348 - F58</f>
        <v>38028.213479999999</v>
      </c>
      <c r="H29" s="129">
        <f t="shared" si="3"/>
        <v>2735.7865200000015</v>
      </c>
      <c r="I29" s="129">
        <f>49529.26332 - H58</f>
        <v>47463.263319999998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26.24578</f>
        <v>26.24578</v>
      </c>
      <c r="G30" s="129">
        <f>37563.96772 - F59</f>
        <v>36385.967720000001</v>
      </c>
      <c r="H30" s="129">
        <f t="shared" si="3"/>
        <v>881.03227999999945</v>
      </c>
      <c r="I30" s="129">
        <f>48214.40464 - H59</f>
        <v>47009.404640000001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10.50742</f>
        <v>10.50742</v>
      </c>
      <c r="G31" s="129">
        <f>25221.94852 - F60</f>
        <v>24513.948520000002</v>
      </c>
      <c r="H31" s="129">
        <f t="shared" si="3"/>
        <v>893.05147999999826</v>
      </c>
      <c r="I31" s="129">
        <f>34312.2507 - H60</f>
        <v>33628.250699999997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238</v>
      </c>
      <c r="G32" s="129">
        <f>F55</f>
        <v>6849</v>
      </c>
      <c r="H32" s="129">
        <f t="shared" si="3"/>
        <v>2815</v>
      </c>
      <c r="I32" s="129">
        <f>H55</f>
        <v>7221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76.41778</f>
        <v>76.417779999999993</v>
      </c>
      <c r="G33" s="134">
        <f>16852.60319</f>
        <v>16852.603190000002</v>
      </c>
      <c r="H33" s="134">
        <f t="shared" si="3"/>
        <v>6733.3968099999984</v>
      </c>
      <c r="I33" s="134">
        <f>21238.50693</f>
        <v>21238.50693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189.08240000000001</v>
      </c>
      <c r="G34" s="134">
        <f>G35+G36</f>
        <v>21255.453549999998</v>
      </c>
      <c r="H34" s="134">
        <f t="shared" si="3"/>
        <v>77.546450000001641</v>
      </c>
      <c r="I34" s="134">
        <f>I35+I36</f>
        <v>21049.06841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125.0824</f>
        <v>125.08240000000001</v>
      </c>
      <c r="G35" s="134">
        <f>24966.45355 - F61 - F62</f>
        <v>20547.453549999998</v>
      </c>
      <c r="H35" s="129">
        <f t="shared" si="3"/>
        <v>-414.45354999999836</v>
      </c>
      <c r="I35" s="129">
        <f>22048.06841 - H61 - H62</f>
        <v>20365.06841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64</v>
      </c>
      <c r="G36" s="73">
        <f>F60</f>
        <v>708</v>
      </c>
      <c r="H36" s="73">
        <f t="shared" si="3"/>
        <v>492</v>
      </c>
      <c r="I36" s="73">
        <f>H60</f>
        <v>684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1.255</f>
        <v>1.2549999999999999</v>
      </c>
      <c r="G38" s="100">
        <f>512.61362</f>
        <v>512.61361999999997</v>
      </c>
      <c r="H38" s="100">
        <f t="shared" si="3"/>
        <v>338.38638000000003</v>
      </c>
      <c r="I38" s="100">
        <f>490.84608</f>
        <v>490.84607999999997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13</v>
      </c>
      <c r="G39" s="100">
        <f>F61</f>
        <v>4419</v>
      </c>
      <c r="H39" s="100">
        <f t="shared" si="3"/>
        <v>-1371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3.46247</f>
        <v>3.4624700000000002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0.6065</f>
        <v>0.60650000000000004</v>
      </c>
      <c r="G41" s="100">
        <f>357.71185</f>
        <v>357.71185000000003</v>
      </c>
      <c r="H41" s="100">
        <f>E41-G41</f>
        <v>-57.711850000000027</v>
      </c>
      <c r="I41" s="100">
        <f>125.18005</f>
        <v>125.18004999999999</v>
      </c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1211.1569000000002</v>
      </c>
      <c r="G44" s="78">
        <f t="shared" si="4"/>
        <v>257721.93700000001</v>
      </c>
      <c r="H44" s="78">
        <f t="shared" si="4"/>
        <v>40974.06299999998</v>
      </c>
      <c r="I44" s="78">
        <f t="shared" si="4"/>
        <v>310928.50936999999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147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238</v>
      </c>
      <c r="F55" s="11">
        <f>F59+F58+F57+F56</f>
        <v>6849</v>
      </c>
      <c r="G55" s="291">
        <f>D55-F55</f>
        <v>2991</v>
      </c>
      <c r="H55" s="11">
        <f>H59+H58+H57+H56</f>
        <v>7221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>
        <v>101</v>
      </c>
      <c r="F56" s="129">
        <v>1014</v>
      </c>
      <c r="G56" s="292"/>
      <c r="H56" s="129">
        <v>1161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>
        <v>114</v>
      </c>
      <c r="F57" s="129">
        <v>2149</v>
      </c>
      <c r="G57" s="292"/>
      <c r="H57" s="129">
        <v>2789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>
        <v>13</v>
      </c>
      <c r="F58" s="129">
        <v>2508</v>
      </c>
      <c r="G58" s="292"/>
      <c r="H58" s="129">
        <v>2066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>
        <v>10</v>
      </c>
      <c r="F59" s="194">
        <v>1178</v>
      </c>
      <c r="G59" s="293"/>
      <c r="H59" s="194">
        <v>1205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64</v>
      </c>
      <c r="F60" s="97">
        <v>708</v>
      </c>
      <c r="G60" s="97">
        <f>D60-F60</f>
        <v>492</v>
      </c>
      <c r="H60" s="97">
        <v>684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13</v>
      </c>
      <c r="F61" s="141">
        <v>4419</v>
      </c>
      <c r="G61" s="141">
        <f>D61-F61</f>
        <v>-1419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6" spans="1:10" ht="108" customHeight="1" x14ac:dyDescent="0.25"/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76.115200000000002</v>
      </c>
      <c r="G92" s="11">
        <f t="shared" si="5"/>
        <v>40800.568049999994</v>
      </c>
      <c r="H92" s="11">
        <f t="shared" si="5"/>
        <v>-6001.5680499999962</v>
      </c>
      <c r="I92" s="11">
        <f t="shared" si="5"/>
        <v>36947.600630000001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72.8798</f>
        <v>72.879800000000003</v>
      </c>
      <c r="G93" s="23">
        <f>40246.44686</f>
        <v>40246.446859999996</v>
      </c>
      <c r="H93" s="23">
        <f>E93-G93</f>
        <v>-6259.4468599999964</v>
      </c>
      <c r="I93" s="23">
        <f>36209.99082</f>
        <v>36209.990819999999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3.2354</f>
        <v>3.2353999999999998</v>
      </c>
      <c r="G94" s="52">
        <f>554.12119</f>
        <v>554.12118999999996</v>
      </c>
      <c r="H94" s="52">
        <f>E94-G94</f>
        <v>257.87881000000004</v>
      </c>
      <c r="I94" s="52">
        <f>737.60981</f>
        <v>737.60981000000004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880.41326000000004</v>
      </c>
      <c r="G95" s="11">
        <f t="shared" si="6"/>
        <v>33697.203130000002</v>
      </c>
      <c r="H95" s="11">
        <f t="shared" si="6"/>
        <v>25802.796869999998</v>
      </c>
      <c r="I95" s="11">
        <f t="shared" si="6"/>
        <v>37930.365160000001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451.03465999999997</v>
      </c>
      <c r="G96" s="134">
        <f t="shared" si="7"/>
        <v>23471.54133</v>
      </c>
      <c r="H96" s="134">
        <f t="shared" si="7"/>
        <v>21019.45867</v>
      </c>
      <c r="I96" s="134">
        <f t="shared" si="7"/>
        <v>29138.422880000002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244.95535</f>
        <v>244.95535000000001</v>
      </c>
      <c r="G97" s="129">
        <f>4166.85045</f>
        <v>4166.8504499999999</v>
      </c>
      <c r="H97" s="129">
        <f t="shared" ref="H97:H104" si="8">E97-G97</f>
        <v>7716.8495500000008</v>
      </c>
      <c r="I97" s="129">
        <f>3631.91956</f>
        <v>3631.9195599999998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129.02262</f>
        <v>129.02261999999999</v>
      </c>
      <c r="G98" s="129">
        <f>7372.2521</f>
        <v>7372.2520999999997</v>
      </c>
      <c r="H98" s="129">
        <f t="shared" si="8"/>
        <v>5292.8479000000007</v>
      </c>
      <c r="I98" s="129">
        <f>9641.76394</f>
        <v>9641.7639400000007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71.66905</f>
        <v>71.669049999999999</v>
      </c>
      <c r="G99" s="129">
        <f>6718.8316</f>
        <v>6718.8316000000004</v>
      </c>
      <c r="H99" s="129">
        <f t="shared" si="8"/>
        <v>5246.7683999999999</v>
      </c>
      <c r="I99" s="129">
        <f>8250.39502</f>
        <v>8250.3950199999999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5.38764</f>
        <v>5.3876400000000002</v>
      </c>
      <c r="G100" s="129">
        <f>5213.60718</f>
        <v>5213.60718</v>
      </c>
      <c r="H100" s="129">
        <f t="shared" si="8"/>
        <v>2762.9928200000004</v>
      </c>
      <c r="I100" s="129">
        <f>7614.34436</f>
        <v>7614.3443600000001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243.76176</f>
        <v>243.76176000000001</v>
      </c>
      <c r="G101" s="134">
        <f>8202.76099</f>
        <v>8202.7609900000007</v>
      </c>
      <c r="H101" s="134">
        <f t="shared" si="8"/>
        <v>2188.2390099999993</v>
      </c>
      <c r="I101" s="134">
        <f>6988.39569</f>
        <v>6988.3956900000003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185.61684</f>
        <v>185.61684</v>
      </c>
      <c r="G102" s="77">
        <f>2022.90081</f>
        <v>2022.9008100000001</v>
      </c>
      <c r="H102" s="77">
        <f t="shared" si="8"/>
        <v>2595.0991899999999</v>
      </c>
      <c r="I102" s="77">
        <f>1803.54659</f>
        <v>1803.5465899999999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11.40739</f>
        <v>11.407389999999999</v>
      </c>
      <c r="H103" s="100">
        <f t="shared" si="8"/>
        <v>308.59260999999998</v>
      </c>
      <c r="I103" s="100">
        <f>22.25999</f>
        <v>22.259989999999998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0.41071</f>
        <v>0.41071000000000002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1.17082</f>
        <v>1.17082</v>
      </c>
      <c r="G105" s="100">
        <f>12.6632</f>
        <v>12.6632</v>
      </c>
      <c r="H105" s="141">
        <f>E105-G105</f>
        <v>37.336799999999997</v>
      </c>
      <c r="I105" s="100">
        <f>4.7883</f>
        <v>4.7882999999999996</v>
      </c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958.10999000000004</v>
      </c>
      <c r="G107" s="78">
        <f t="shared" si="9"/>
        <v>74830.609569999971</v>
      </c>
      <c r="H107" s="78">
        <f t="shared" si="9"/>
        <v>20138.390430000018</v>
      </c>
      <c r="I107" s="78">
        <f t="shared" si="9"/>
        <v>75248.748860000007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148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767.58257000000003</v>
      </c>
      <c r="G128" s="11">
        <f t="shared" si="11"/>
        <v>59851.718369999995</v>
      </c>
      <c r="H128" s="11">
        <f t="shared" si="11"/>
        <v>10855.281630000003</v>
      </c>
      <c r="I128" s="11">
        <f t="shared" si="11"/>
        <v>57464.509500000007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409.96987</f>
        <v>409.96987000000001</v>
      </c>
      <c r="G129" s="23">
        <f>52140.26592</f>
        <v>52140.265919999998</v>
      </c>
      <c r="H129" s="23">
        <f>E129-G129</f>
        <v>4084.734080000002</v>
      </c>
      <c r="I129" s="23">
        <f>48750.91649</f>
        <v>48750.916490000003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351.8397</f>
        <v>351.83969999999999</v>
      </c>
      <c r="G130" s="23">
        <f>7571.9194</f>
        <v>7571.9193999999998</v>
      </c>
      <c r="H130" s="23">
        <f>E130-G130</f>
        <v>6410.0806000000002</v>
      </c>
      <c r="I130" s="23">
        <f>8463.44701</f>
        <v>8463.4470099999999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5.773</f>
        <v>5.7729999999999997</v>
      </c>
      <c r="G131" s="23">
        <f>139.53305</f>
        <v>139.53305</v>
      </c>
      <c r="H131" s="58">
        <f>E131-G131</f>
        <v>360.46695</v>
      </c>
      <c r="I131" s="23">
        <f>250.146</f>
        <v>250.14599999999999</v>
      </c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35.581</f>
        <v>35.581000000000003</v>
      </c>
      <c r="G132" s="97">
        <f>38839.19818+7141.87713</f>
        <v>45981.07531</v>
      </c>
      <c r="H132" s="97">
        <f>E132-G132</f>
        <v>3303.9246899999998</v>
      </c>
      <c r="I132" s="97">
        <f>40686.32248</f>
        <v>40686.322480000003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1262.3969500000001</v>
      </c>
      <c r="G133" s="96">
        <f t="shared" ref="G133" si="12">G134+G139+G142</f>
        <v>63576.987800000003</v>
      </c>
      <c r="H133" s="96">
        <f>H134+H139+H142</f>
        <v>17535.012200000001</v>
      </c>
      <c r="I133" s="96">
        <f>I134+I139+I142</f>
        <v>67224.44501000001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740.74314000000004</v>
      </c>
      <c r="G134" s="127">
        <f>G135+G136+G138+G137</f>
        <v>48640.697570000004</v>
      </c>
      <c r="H134" s="127">
        <f>H135+H136+H137+H138</f>
        <v>10992.302430000002</v>
      </c>
      <c r="I134" s="127">
        <f>I135+I136+I137+I138</f>
        <v>53029.269490000006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376.72237</f>
        <v>376.72237000000001</v>
      </c>
      <c r="G135" s="129">
        <v>9624.2408899999991</v>
      </c>
      <c r="H135" s="129">
        <f>E135-G135</f>
        <v>7913.7591100000009</v>
      </c>
      <c r="I135" s="129">
        <f>8957.04481</f>
        <v>8957.0448099999994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280.27107</f>
        <v>280.27107000000001</v>
      </c>
      <c r="G136" s="129">
        <v>14561.6057</v>
      </c>
      <c r="H136" s="129">
        <f>E136-G136</f>
        <v>556.39429999999993</v>
      </c>
      <c r="I136" s="129">
        <f>11975.83845</f>
        <v>11975.838449999999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43.84715</f>
        <v>43.847149999999999</v>
      </c>
      <c r="G137" s="129">
        <v>13434.357019999999</v>
      </c>
      <c r="H137" s="129">
        <f>E137-G137</f>
        <v>1621.6429800000005</v>
      </c>
      <c r="I137" s="129">
        <f>17174.25507</f>
        <v>17174.255069999999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39.90255</f>
        <v>39.902549999999998</v>
      </c>
      <c r="G138" s="129">
        <v>11020.49396</v>
      </c>
      <c r="H138" s="129">
        <f>E138-G138</f>
        <v>900.50604000000021</v>
      </c>
      <c r="I138" s="129">
        <f>14922.13116</f>
        <v>14922.131160000001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171.27720000000002</v>
      </c>
      <c r="G139" s="134">
        <f>SUM(G140:G141)</f>
        <v>7432.4701500000001</v>
      </c>
      <c r="H139" s="134">
        <f>H140+H141</f>
        <v>2018.5298499999997</v>
      </c>
      <c r="I139" s="134">
        <f>SUM(I140:I141)</f>
        <v>6647.6206299999994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169.7016</f>
        <v>169.70160000000001</v>
      </c>
      <c r="G140" s="129">
        <f>7167.87589</f>
        <v>7167.8758900000003</v>
      </c>
      <c r="H140" s="129">
        <f t="shared" ref="H140:H147" si="13">E140-G140</f>
        <v>1783.1241099999997</v>
      </c>
      <c r="I140" s="129">
        <f>6350.64618</f>
        <v>6350.6461799999997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1.5756</f>
        <v>1.5755999999999999</v>
      </c>
      <c r="G141" s="129">
        <f>264.59426</f>
        <v>264.59426000000002</v>
      </c>
      <c r="H141" s="129">
        <f t="shared" si="13"/>
        <v>235.40573999999998</v>
      </c>
      <c r="I141" s="129">
        <f>296.97445</f>
        <v>296.97444999999999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350.37661</f>
        <v>350.37661000000003</v>
      </c>
      <c r="G142" s="77">
        <f>7503.82008</f>
        <v>7503.8200800000004</v>
      </c>
      <c r="H142" s="77">
        <f t="shared" si="13"/>
        <v>4524.1799199999996</v>
      </c>
      <c r="I142" s="77">
        <f>7547.55489</f>
        <v>7547.5548900000003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31.88938</f>
        <v>31.889379999999999</v>
      </c>
      <c r="H143" s="141">
        <f t="shared" si="13"/>
        <v>105.11062</v>
      </c>
      <c r="I143" s="141">
        <f>28.08467</f>
        <v>28.084669999999999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11.1217</f>
        <v>11.121700000000001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0.17415</f>
        <v>0.17415</v>
      </c>
      <c r="G147" s="100">
        <f>28.42438</f>
        <v>28.424379999999999</v>
      </c>
      <c r="H147" s="141">
        <f t="shared" si="13"/>
        <v>166.57562000000001</v>
      </c>
      <c r="I147" s="100">
        <f>7.07005</f>
        <v>7.0700500000000002</v>
      </c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27.727</f>
        <v>27.727</v>
      </c>
      <c r="G148" s="141">
        <f>178.41063</f>
        <v>178.41063</v>
      </c>
      <c r="H148" s="141"/>
      <c r="I148" s="141">
        <f>103.9158</f>
        <v>103.9158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2104.5833699999998</v>
      </c>
      <c r="G150" s="78">
        <f>G128+G132+G133+G143+G144+G145+G146+G147+G148</f>
        <v>171911.08687000003</v>
      </c>
      <c r="H150" s="78">
        <f>H128+H132+H133+H143+H144+H145+H146+H147+H148</f>
        <v>31953.323760000003</v>
      </c>
      <c r="I150" s="78">
        <f>I128+I132+I133+I143+I144+I145+I146+I147+I148</f>
        <v>167821.32351000005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146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ht="99.75" customHeight="1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37.0765</f>
        <v>37.076500000000003</v>
      </c>
      <c r="F175" s="274">
        <f>1634.37343</f>
        <v>1634.3734300000001</v>
      </c>
      <c r="G175" s="45">
        <f>D175-F175-F176</f>
        <v>1609.13626</v>
      </c>
      <c r="H175" s="274">
        <f>1562.08326</f>
        <v>1562.0832600000001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1744.49031</f>
        <v>1744.4903099999999</v>
      </c>
      <c r="G176" s="215"/>
      <c r="H176" s="154">
        <f>1666.21385</f>
        <v>1666.2138500000001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50.9796</f>
        <v>50.979599999999998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23.157969999999999</v>
      </c>
      <c r="F178" s="183">
        <f>F179+F180+F181</f>
        <v>8121.2952099999993</v>
      </c>
      <c r="G178" s="183">
        <f>D178-F178</f>
        <v>-640.29520999999932</v>
      </c>
      <c r="H178" s="183">
        <f>H179+H180+H181</f>
        <v>7789.6933300000001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6.38405</f>
        <v>6.3840500000000002</v>
      </c>
      <c r="F179" s="129">
        <f>4179.1223</f>
        <v>4179.1223</v>
      </c>
      <c r="G179" s="129"/>
      <c r="H179" s="129">
        <f>3980.40344</f>
        <v>3980.40344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7.88971</f>
        <v>7.88971</v>
      </c>
      <c r="F180" s="129">
        <f>2505.85669</f>
        <v>2505.8566900000001</v>
      </c>
      <c r="G180" s="129"/>
      <c r="H180" s="129">
        <f>2441.81023</f>
        <v>2441.81023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8.88421</f>
        <v>8.8842099999999995</v>
      </c>
      <c r="F181" s="194">
        <f>1436.31622</f>
        <v>1436.3162199999999</v>
      </c>
      <c r="G181" s="194"/>
      <c r="H181" s="194">
        <f>1367.47966</f>
        <v>1367.47966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60.234470000000002</v>
      </c>
      <c r="F184" s="196">
        <f>F175+F176+F177+F178+F182+F183</f>
        <v>11574.946409999999</v>
      </c>
      <c r="G184" s="196">
        <f>D184-F184</f>
        <v>1160.0535900000013</v>
      </c>
      <c r="H184" s="196">
        <f>H175+H176+H177+H178+H182+H183</f>
        <v>11068.97004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101.86134</f>
        <v>101.86134</v>
      </c>
      <c r="F204" s="124">
        <f>41238.54526</f>
        <v>41238.545259999999</v>
      </c>
      <c r="G204" s="124">
        <f>D204-F204</f>
        <v>2600.454740000001</v>
      </c>
      <c r="H204" s="124">
        <f>37023.04544</f>
        <v>37023.045440000002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0.0707</f>
        <v>7.0699999999999999E-2</v>
      </c>
      <c r="F205" s="124">
        <f>66.00593</f>
        <v>66.005930000000006</v>
      </c>
      <c r="G205" s="124">
        <f>D205-F205</f>
        <v>33.994069999999994</v>
      </c>
      <c r="H205" s="124">
        <f>58.7003</f>
        <v>58.700299999999999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101.93204</v>
      </c>
      <c r="F207" s="190">
        <f>SUM(F204:F206)</f>
        <v>41304.551189999998</v>
      </c>
      <c r="G207" s="190">
        <f>D207-F207</f>
        <v>2676.4488100000017</v>
      </c>
      <c r="H207" s="190">
        <f>SUM(H204:H206)</f>
        <v>37081.745739999998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1.41213</f>
        <v>1.4121300000000001</v>
      </c>
      <c r="F249" s="77">
        <f>3559.47929</f>
        <v>3559.4792900000002</v>
      </c>
      <c r="G249" s="77"/>
      <c r="H249" s="77">
        <f>2837.61168</f>
        <v>2837.61168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78.61272</f>
        <v>78.612719999999996</v>
      </c>
      <c r="F250" s="77">
        <f>5318.40114</f>
        <v>5318.4011399999999</v>
      </c>
      <c r="G250" s="77"/>
      <c r="H250" s="77">
        <f>4896.57547</f>
        <v>4896.5754699999998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4.85158</f>
        <v>4.8515800000000002</v>
      </c>
      <c r="F251" s="124">
        <f>626.69859</f>
        <v>626.69858999999997</v>
      </c>
      <c r="G251" s="168"/>
      <c r="H251" s="124">
        <f>634.19333</f>
        <v>634.19332999999995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84.876429999999999</v>
      </c>
      <c r="F252" s="190">
        <f>SUM(F249:F251)</f>
        <v>9504.579020000001</v>
      </c>
      <c r="G252" s="190">
        <f>D252-F252</f>
        <v>949.42097999999896</v>
      </c>
      <c r="H252" s="190">
        <f>SUM(H249:H251)</f>
        <v>8368.3804799999998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1.51147</f>
        <v>1.5114700000000001</v>
      </c>
      <c r="F294" s="77">
        <f>5505.18348</f>
        <v>5505.1834799999997</v>
      </c>
      <c r="G294" s="77"/>
      <c r="H294" s="77">
        <f>4139.26451</f>
        <v>4139.26451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141.22246</f>
        <v>141.22246000000001</v>
      </c>
      <c r="F295" s="77">
        <f>3592.41716</f>
        <v>3592.41716</v>
      </c>
      <c r="G295" s="77"/>
      <c r="H295" s="77">
        <f>3362.51814</f>
        <v>3362.5181400000001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0.69582</f>
        <v>0.69581999999999999</v>
      </c>
      <c r="F296" s="124">
        <f>506.08478</f>
        <v>506.08478000000002</v>
      </c>
      <c r="G296" s="168"/>
      <c r="H296" s="124">
        <f>581.15909</f>
        <v>581.15908999999999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143.42975000000001</v>
      </c>
      <c r="F297" s="190">
        <f>SUM(F294:F296)</f>
        <v>9603.6854199999998</v>
      </c>
      <c r="G297" s="190">
        <f>D297-F297</f>
        <v>-1527.6854199999998</v>
      </c>
      <c r="H297" s="190">
        <f>SUM(H294:H296)</f>
        <v>8082.9417400000002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0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2.45492</f>
        <v>2.45492</v>
      </c>
      <c r="F348" s="124">
        <f>556.43292</f>
        <v>556.43291999999997</v>
      </c>
      <c r="G348" s="124">
        <f>D348-F348</f>
        <v>243.56708000000003</v>
      </c>
      <c r="H348" s="124">
        <f>370.67937</f>
        <v>370.67937000000001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5.67252</f>
        <v>5.6725199999999996</v>
      </c>
      <c r="F349" s="124">
        <f>2696.79867</f>
        <v>2696.7986700000001</v>
      </c>
      <c r="G349" s="124">
        <f>D349-F349</f>
        <v>-202.79867000000013</v>
      </c>
      <c r="H349" s="124">
        <f>1721.46671</f>
        <v>1721.4667099999999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3.1032</f>
        <v>3.1032000000000002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1.78973</f>
        <v>1.78973</v>
      </c>
      <c r="G351" s="124"/>
      <c r="H351" s="168">
        <f>6.94014</f>
        <v>6.9401400000000004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8.12744</v>
      </c>
      <c r="F352" s="190">
        <f>SUM(F348:F351)</f>
        <v>3257.7600600000001</v>
      </c>
      <c r="G352" s="190">
        <f>D352-F352</f>
        <v>41.239939999999933</v>
      </c>
      <c r="H352" s="190">
        <f>H348+H349+H350+H351</f>
        <v>2102.1894200000002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3.75" customHeight="1" x14ac:dyDescent="0.25">
      <c r="A357" s="1" t="s">
        <v>119</v>
      </c>
    </row>
    <row r="358" spans="1:10" ht="13.5" hidden="1" customHeight="1" x14ac:dyDescent="0.25">
      <c r="A358" s="1"/>
      <c r="C358" s="152" t="s">
        <v>119</v>
      </c>
    </row>
    <row r="359" spans="1:10" hidden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111.93997999999999</v>
      </c>
      <c r="G378" s="251">
        <f t="shared" si="15"/>
        <v>16398.919030000001</v>
      </c>
      <c r="H378" s="251">
        <f>H382+H381+H380+H379</f>
        <v>-296.91902999999957</v>
      </c>
      <c r="I378" s="251">
        <f t="shared" si="15"/>
        <v>9700.3156899999994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70.95418</f>
        <v>70.954179999999994</v>
      </c>
      <c r="G379" s="255">
        <f>9979.32829</f>
        <v>9979.3282899999995</v>
      </c>
      <c r="H379" s="255">
        <f t="shared" ref="H379:H383" si="16">E379-G379</f>
        <v>-1802.3282899999995</v>
      </c>
      <c r="I379" s="255">
        <f>6440.39929</f>
        <v>6440.3992900000003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5.5998</f>
        <v>5.5998000000000001</v>
      </c>
      <c r="G380" s="255">
        <f>1409.99535</f>
        <v>1409.9953499999999</v>
      </c>
      <c r="H380" s="255">
        <f t="shared" si="16"/>
        <v>718.00465000000008</v>
      </c>
      <c r="I380" s="255">
        <f>652.85325</f>
        <v>652.85325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10.329</f>
        <v>10.329000000000001</v>
      </c>
      <c r="G381" s="255">
        <f>1907.12429</f>
        <v>1907.12429</v>
      </c>
      <c r="H381" s="255">
        <f t="shared" si="16"/>
        <v>-550.12428999999997</v>
      </c>
      <c r="I381" s="255">
        <f>1631.27395</f>
        <v>1631.27395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25.057</f>
        <v>25.056999999999999</v>
      </c>
      <c r="G382" s="255">
        <f>3102.4711</f>
        <v>3102.4711000000002</v>
      </c>
      <c r="H382" s="255">
        <f t="shared" si="16"/>
        <v>1337.5288999999998</v>
      </c>
      <c r="I382" s="255">
        <f>975.7892</f>
        <v>975.78920000000005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</f>
        <v>0</v>
      </c>
      <c r="G383" s="266">
        <f>5111.96628</f>
        <v>5111.9662799999996</v>
      </c>
      <c r="H383" s="266">
        <f t="shared" si="16"/>
        <v>388.03372000000036</v>
      </c>
      <c r="I383" s="266">
        <f>4571.87976</f>
        <v>4571.8797599999998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74.939589999999995</v>
      </c>
      <c r="G384" s="267">
        <f>G386+G385</f>
        <v>4237.9777899999999</v>
      </c>
      <c r="H384" s="267">
        <f>E384-G384</f>
        <v>3762.0222100000001</v>
      </c>
      <c r="I384" s="267">
        <f>I386+I385</f>
        <v>4578.8967300000004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864.02294</f>
        <v>864.02293999999995</v>
      </c>
      <c r="H385" s="255"/>
      <c r="I385" s="255">
        <f>1158.2507</f>
        <v>1158.2507000000001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74.93959</f>
        <v>74.939589999999995</v>
      </c>
      <c r="G386" s="276">
        <f>3373.95485</f>
        <v>3373.9548500000001</v>
      </c>
      <c r="H386" s="276"/>
      <c r="I386" s="276">
        <f>3420.64603</f>
        <v>3420.6460299999999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0.7485</f>
        <v>0.74850000000000005</v>
      </c>
      <c r="H387" s="266">
        <f>E387-G387</f>
        <v>9.2515000000000001</v>
      </c>
      <c r="I387" s="266">
        <f>0.4968</f>
        <v>0.49680000000000002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0.2524</f>
        <v>0.25240000000000001</v>
      </c>
      <c r="G388" s="266">
        <f>117.5523</f>
        <v>117.5523</v>
      </c>
      <c r="H388" s="266">
        <f>E388-G388</f>
        <v>-117.5523</v>
      </c>
      <c r="I388" s="266">
        <f>239.7074</f>
        <v>239.70740000000001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187.13197</v>
      </c>
      <c r="G389" s="285">
        <f t="shared" si="17"/>
        <v>25867.163900000003</v>
      </c>
      <c r="H389" s="285">
        <f>H378+H383+H384+H387+H388</f>
        <v>3744.8361000000009</v>
      </c>
      <c r="I389" s="285">
        <f t="shared" si="17"/>
        <v>19091.29638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327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29.011000000000003</v>
      </c>
      <c r="F417" s="36">
        <f>SUM(F418:F419)</f>
        <v>372.64594</v>
      </c>
      <c r="G417" s="87"/>
      <c r="H417" s="36">
        <f>SUM(H418:H419)</f>
        <v>776.16322000000002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19.585</f>
        <v>19.585000000000001</v>
      </c>
      <c r="F418" s="30">
        <f>276.73613</f>
        <v>276.73613</v>
      </c>
      <c r="G418" s="99"/>
      <c r="H418" s="30">
        <f>610.36298</f>
        <v>610.36297999999999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9.426</f>
        <v>9.4260000000000002</v>
      </c>
      <c r="F419" s="30">
        <f>95.90981</f>
        <v>95.909809999999993</v>
      </c>
      <c r="G419" s="110"/>
      <c r="H419" s="30">
        <f>165.80024</f>
        <v>165.80024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29.011000000000003</v>
      </c>
      <c r="F421" s="42">
        <f>F411+F414+F417+F420</f>
        <v>4032.5099199999995</v>
      </c>
      <c r="G421" s="43"/>
      <c r="H421" s="42">
        <f>H411+H414+H417+H420</f>
        <v>3974.85842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43&amp;R30.10.2023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2023-10-30T09:11:31Z</dcterms:modified>
</cp:coreProperties>
</file>