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0D4F28CC-F246-4A6D-A0F9-ED6093C42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F422" i="1"/>
  <c r="G422" i="1" s="1"/>
  <c r="E422" i="1"/>
  <c r="H421" i="1"/>
  <c r="F421" i="1"/>
  <c r="E421" i="1"/>
  <c r="H420" i="1"/>
  <c r="H419" i="1" s="1"/>
  <c r="F420" i="1"/>
  <c r="F419" i="1" s="1"/>
  <c r="G419" i="1" s="1"/>
  <c r="E420" i="1"/>
  <c r="E419" i="1" s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E414" i="1"/>
  <c r="E413" i="1" s="1"/>
  <c r="E423" i="1" s="1"/>
  <c r="H413" i="1"/>
  <c r="H423" i="1" s="1"/>
  <c r="F413" i="1"/>
  <c r="D391" i="1"/>
  <c r="I390" i="1"/>
  <c r="H390" i="1"/>
  <c r="G390" i="1"/>
  <c r="F390" i="1"/>
  <c r="I389" i="1"/>
  <c r="G389" i="1"/>
  <c r="H389" i="1" s="1"/>
  <c r="F389" i="1"/>
  <c r="I388" i="1"/>
  <c r="I386" i="1" s="1"/>
  <c r="G388" i="1"/>
  <c r="G386" i="1" s="1"/>
  <c r="H386" i="1" s="1"/>
  <c r="F388" i="1"/>
  <c r="I387" i="1"/>
  <c r="G387" i="1"/>
  <c r="F387" i="1"/>
  <c r="F386" i="1"/>
  <c r="I385" i="1"/>
  <c r="H385" i="1"/>
  <c r="G385" i="1"/>
  <c r="F385" i="1"/>
  <c r="I384" i="1"/>
  <c r="H384" i="1"/>
  <c r="H380" i="1" s="1"/>
  <c r="G384" i="1"/>
  <c r="F384" i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G380" i="1"/>
  <c r="G391" i="1" s="1"/>
  <c r="F380" i="1"/>
  <c r="F391" i="1" s="1"/>
  <c r="D380" i="1"/>
  <c r="H372" i="1"/>
  <c r="F372" i="1"/>
  <c r="F354" i="1"/>
  <c r="D354" i="1"/>
  <c r="G354" i="1" s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H354" i="1" s="1"/>
  <c r="G350" i="1"/>
  <c r="F350" i="1"/>
  <c r="E350" i="1"/>
  <c r="E354" i="1" s="1"/>
  <c r="D343" i="1"/>
  <c r="D299" i="1"/>
  <c r="H298" i="1"/>
  <c r="G298" i="1"/>
  <c r="F298" i="1"/>
  <c r="E298" i="1"/>
  <c r="H297" i="1"/>
  <c r="F297" i="1"/>
  <c r="E297" i="1"/>
  <c r="E295" i="1" s="1"/>
  <c r="E299" i="1" s="1"/>
  <c r="H296" i="1"/>
  <c r="H295" i="1" s="1"/>
  <c r="H299" i="1" s="1"/>
  <c r="F296" i="1"/>
  <c r="F295" i="1" s="1"/>
  <c r="E296" i="1"/>
  <c r="D253" i="1"/>
  <c r="H252" i="1"/>
  <c r="F252" i="1"/>
  <c r="G252" i="1" s="1"/>
  <c r="E252" i="1"/>
  <c r="H251" i="1"/>
  <c r="H249" i="1" s="1"/>
  <c r="H253" i="1" s="1"/>
  <c r="F251" i="1"/>
  <c r="E251" i="1"/>
  <c r="E249" i="1" s="1"/>
  <c r="E253" i="1" s="1"/>
  <c r="H250" i="1"/>
  <c r="F250" i="1"/>
  <c r="E250" i="1"/>
  <c r="F249" i="1"/>
  <c r="G249" i="1" s="1"/>
  <c r="H207" i="1"/>
  <c r="F207" i="1"/>
  <c r="D207" i="1"/>
  <c r="G207" i="1" s="1"/>
  <c r="H206" i="1"/>
  <c r="G206" i="1"/>
  <c r="F206" i="1"/>
  <c r="E206" i="1"/>
  <c r="H205" i="1"/>
  <c r="G205" i="1"/>
  <c r="F205" i="1"/>
  <c r="E205" i="1"/>
  <c r="H204" i="1"/>
  <c r="G204" i="1"/>
  <c r="F204" i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 s="1"/>
  <c r="H177" i="1"/>
  <c r="F177" i="1"/>
  <c r="G177" i="1" s="1"/>
  <c r="E177" i="1"/>
  <c r="H176" i="1"/>
  <c r="F176" i="1"/>
  <c r="E176" i="1"/>
  <c r="H175" i="1"/>
  <c r="F175" i="1"/>
  <c r="F184" i="1" s="1"/>
  <c r="E175" i="1"/>
  <c r="D169" i="1"/>
  <c r="D167" i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G139" i="1" s="1"/>
  <c r="F140" i="1"/>
  <c r="F139" i="1" s="1"/>
  <c r="F133" i="1" s="1"/>
  <c r="I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I134" i="1"/>
  <c r="I133" i="1" s="1"/>
  <c r="G134" i="1"/>
  <c r="F134" i="1"/>
  <c r="E134" i="1"/>
  <c r="D134" i="1"/>
  <c r="E133" i="1"/>
  <c r="D133" i="1"/>
  <c r="I132" i="1"/>
  <c r="H132" i="1"/>
  <c r="F132" i="1"/>
  <c r="I131" i="1"/>
  <c r="H131" i="1"/>
  <c r="G131" i="1"/>
  <c r="F131" i="1"/>
  <c r="I130" i="1"/>
  <c r="H130" i="1"/>
  <c r="G130" i="1"/>
  <c r="F130" i="1"/>
  <c r="I129" i="1"/>
  <c r="I128" i="1" s="1"/>
  <c r="I150" i="1" s="1"/>
  <c r="H129" i="1"/>
  <c r="H128" i="1" s="1"/>
  <c r="G129" i="1"/>
  <c r="G128" i="1" s="1"/>
  <c r="F129" i="1"/>
  <c r="F128" i="1" s="1"/>
  <c r="E128" i="1"/>
  <c r="E150" i="1" s="1"/>
  <c r="D128" i="1"/>
  <c r="D150" i="1" s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F97" i="1"/>
  <c r="F96" i="1" s="1"/>
  <c r="F95" i="1" s="1"/>
  <c r="I96" i="1"/>
  <c r="I95" i="1" s="1"/>
  <c r="G96" i="1"/>
  <c r="E96" i="1"/>
  <c r="D96" i="1"/>
  <c r="G95" i="1"/>
  <c r="E95" i="1"/>
  <c r="D95" i="1"/>
  <c r="I94" i="1"/>
  <c r="G94" i="1"/>
  <c r="H94" i="1" s="1"/>
  <c r="F94" i="1"/>
  <c r="I93" i="1"/>
  <c r="I92" i="1" s="1"/>
  <c r="G93" i="1"/>
  <c r="H93" i="1" s="1"/>
  <c r="F93" i="1"/>
  <c r="F92" i="1"/>
  <c r="F107" i="1" s="1"/>
  <c r="E92" i="1"/>
  <c r="E107" i="1" s="1"/>
  <c r="D92" i="1"/>
  <c r="D107" i="1" s="1"/>
  <c r="C89" i="1"/>
  <c r="H85" i="1"/>
  <c r="F85" i="1"/>
  <c r="D85" i="1"/>
  <c r="G61" i="1"/>
  <c r="G60" i="1"/>
  <c r="H55" i="1"/>
  <c r="I32" i="1" s="1"/>
  <c r="I27" i="1" s="1"/>
  <c r="F55" i="1"/>
  <c r="G55" i="1" s="1"/>
  <c r="E55" i="1"/>
  <c r="E44" i="1"/>
  <c r="I43" i="1"/>
  <c r="G43" i="1"/>
  <c r="H43" i="1" s="1"/>
  <c r="F43" i="1"/>
  <c r="H42" i="1"/>
  <c r="I41" i="1"/>
  <c r="H41" i="1"/>
  <c r="G41" i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G35" i="1"/>
  <c r="G34" i="1" s="1"/>
  <c r="H34" i="1" s="1"/>
  <c r="F35" i="1"/>
  <c r="E35" i="1"/>
  <c r="D34" i="1"/>
  <c r="D26" i="1" s="1"/>
  <c r="I33" i="1"/>
  <c r="H33" i="1"/>
  <c r="G33" i="1"/>
  <c r="F33" i="1"/>
  <c r="F32" i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F28" i="1"/>
  <c r="F27" i="1" s="1"/>
  <c r="E27" i="1"/>
  <c r="D27" i="1"/>
  <c r="E26" i="1"/>
  <c r="I25" i="1"/>
  <c r="G25" i="1"/>
  <c r="G23" i="1" s="1"/>
  <c r="F25" i="1"/>
  <c r="F23" i="1" s="1"/>
  <c r="I24" i="1"/>
  <c r="I23" i="1" s="1"/>
  <c r="H24" i="1"/>
  <c r="G24" i="1"/>
  <c r="F24" i="1"/>
  <c r="E23" i="1"/>
  <c r="D23" i="1"/>
  <c r="D44" i="1" s="1"/>
  <c r="H16" i="1"/>
  <c r="F16" i="1"/>
  <c r="D16" i="1"/>
  <c r="H134" i="1" l="1"/>
  <c r="G133" i="1"/>
  <c r="G150" i="1" s="1"/>
  <c r="H35" i="1"/>
  <c r="I34" i="1"/>
  <c r="I26" i="1" s="1"/>
  <c r="I44" i="1" s="1"/>
  <c r="F34" i="1"/>
  <c r="F26" i="1" s="1"/>
  <c r="F44" i="1" s="1"/>
  <c r="I107" i="1"/>
  <c r="G295" i="1"/>
  <c r="F299" i="1"/>
  <c r="G299" i="1"/>
  <c r="H391" i="1"/>
  <c r="I391" i="1"/>
  <c r="H92" i="1"/>
  <c r="H96" i="1"/>
  <c r="H95" i="1" s="1"/>
  <c r="F150" i="1"/>
  <c r="E184" i="1"/>
  <c r="G184" i="1"/>
  <c r="H184" i="1"/>
  <c r="F423" i="1"/>
  <c r="G92" i="1"/>
  <c r="G107" i="1" s="1"/>
  <c r="H140" i="1"/>
  <c r="H139" i="1" s="1"/>
  <c r="G32" i="1"/>
  <c r="H32" i="1" s="1"/>
  <c r="H25" i="1"/>
  <c r="H23" i="1" s="1"/>
  <c r="H28" i="1"/>
  <c r="G175" i="1"/>
  <c r="F253" i="1"/>
  <c r="G253" i="1" s="1"/>
  <c r="G413" i="1"/>
  <c r="H133" i="1" l="1"/>
  <c r="H150" i="1" s="1"/>
  <c r="H27" i="1"/>
  <c r="H26" i="1" s="1"/>
  <c r="H44" i="1" s="1"/>
  <c r="G27" i="1"/>
  <c r="G26" i="1" s="1"/>
  <c r="G44" i="1" s="1"/>
  <c r="H107" i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<sst xmlns="http://schemas.openxmlformats.org/spreadsheetml/2006/main" count="359" uniqueCount="152">
  <si>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</si>
  <si>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</si>
  <si>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</si>
  <si>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</si>
  <si>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</si>
  <si>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</si>
  <si>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</si>
  <si>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</si>
  <si>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</si>
  <si>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</si>
  <si>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</si>
  <si>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</si>
  <si>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</si>
  <si>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</si>
  <si>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</si>
  <si>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</si>
  <si>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</si>
  <si>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</si>
  <si>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</si>
  <si>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</si>
  <si>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</si>
  <si>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</si>
  <si>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</si>
  <si>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</si>
  <si>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</si>
  <si>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</si>
  <si>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</si>
  <si>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</si>
  <si>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</si>
  <si>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</si>
  <si>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</si>
  <si>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</si>
  <si>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</si>
  <si>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</si>
  <si>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</si>
  <si>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</si>
  <si>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</si>
  <si>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</si>
  <si>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</si>
  <si>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</si>
  <si>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</si>
  <si>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</si>
  <si>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</si>
  <si>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</si>
  <si>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</si>
  <si>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</si>
  <si>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</si>
  <si>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</si>
  <si>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</si>
  <si>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</si>
  <si>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</si>
  <si>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</si>
  <si>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</si>
  <si>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</si>
  <si>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</si>
  <si>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</si>
  <si>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</si>
  <si>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</si>
  <si>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</si>
  <si>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</si>
  <si>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</si>
  <si>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</si>
  <si>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</si>
  <si>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</si>
  <si>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</si>
  <si>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</si>
  <si>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</si>
  <si>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</si>
  <si>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</si>
  <si>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</si>
  <si>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</si>
  <si>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</si>
  <si>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</si>
  <si>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</si>
  <si>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</si>
  <si>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</si>
  <si>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</si>
  <si>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</si>
  <si>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</si>
  <si>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</si>
  <si>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</si>
  <si>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</si>
  <si>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</si>
  <si>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</si>
  <si>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</si>
  <si>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</si>
  <si>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</si>
  <si>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</si>
  <si>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</si>
  <si>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</si>
  <si>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</si>
  <si>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</si>
  <si>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</si>
  <si>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</si>
  <si>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</si>
  <si>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</si>
  <si>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</si>
  <si>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</si>
  <si>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</si>
  <si>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</si>
  <si>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</si>
  <si>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</si>
  <si>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</si>
  <si>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</si>
  <si>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</si>
  <si>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</si>
  <si>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</si>
  <si>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</si>
  <si>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</si>
  <si>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</si>
  <si>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</si>
  <si>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</si>
  <si>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</si>
  <si>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</si>
  <si>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</si>
  <si>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</si>
  <si>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</si>
  <si>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</si>
  <si>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</si>
  <si>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</si>
  <si>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</si>
  <si>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</si>
  <si>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</si>
  <si>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</si>
  <si>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</si>
  <si>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</si>
  <si>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</si>
  <si>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</si>
  <si>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</si>
  <si>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</si>
  <si>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</si>
  <si>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</si>
  <si>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</si>
  <si>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</si>
  <si>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</si>
  <si>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</si>
  <si>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</si>
  <si>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</si>
  <si>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</si>
  <si>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</si>
  <si>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</si>
  <si>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</si>
  <si>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</si>
  <si>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</si>
  <si>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46 tonn, men det legges til grunn at hele avsetningen tas</t>
  </si>
  <si>
    <t>4 Registrert rekreasjonsfiske utgjør 178 tonn, men det legges til grunn at hele avsetningen tas</t>
  </si>
  <si>
    <t>3 Registrert rekreasjonsfiske utgjør 582 tonn, men det legges til grunn at hele avsetningen tas</t>
  </si>
  <si>
    <t>FANGST UKE 20</t>
  </si>
  <si>
    <t>FANGST T.O.M UKE 20</t>
  </si>
  <si>
    <t>RESTKVOTER UKE 20</t>
  </si>
  <si>
    <t>FANGST T.O.M UKE 20 2023</t>
  </si>
  <si>
    <r>
      <t>3</t>
    </r>
    <r>
      <rPr>
        <sz val="9"/>
        <color indexed="8"/>
        <rFont val="Calibri"/>
        <family val="2"/>
      </rPr>
      <t xml:space="preserve"> Det er fisket 1 730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</si>
</sst>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34" zoomScale="85" zoomScaleNormal="85" zoomScaleSheetLayoutView="100" zoomScalePageLayoutView="85" workbookViewId="0">
      <selection activeCell="H62" sqref="H62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122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291" t="s">
        <v>141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65.854500000000002</v>
      </c>
      <c r="G23" s="28">
        <f t="shared" si="0"/>
        <v>35457.912529999994</v>
      </c>
      <c r="H23" s="11">
        <f t="shared" si="0"/>
        <v>25354.087470000002</v>
      </c>
      <c r="I23" s="11">
        <f t="shared" si="0"/>
        <v>42241.416089999999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65.8545</f>
        <v>65.854500000000002</v>
      </c>
      <c r="G24" s="23">
        <f>35054.49524</f>
        <v>35054.495239999997</v>
      </c>
      <c r="H24" s="23">
        <f>E24-G24</f>
        <v>24987.504760000003</v>
      </c>
      <c r="I24" s="23">
        <f>42029.03985</f>
        <v>42029.039850000001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403.41729</f>
        <v>403.41728999999998</v>
      </c>
      <c r="H25" s="23">
        <f>E25-G25</f>
        <v>366.58271000000002</v>
      </c>
      <c r="I25" s="23">
        <f>212.37624</f>
        <v>212.37624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838.27156999999988</v>
      </c>
      <c r="G26" s="11">
        <f t="shared" si="1"/>
        <v>111587.22894</v>
      </c>
      <c r="H26" s="11">
        <f t="shared" si="1"/>
        <v>33286.771059999999</v>
      </c>
      <c r="I26" s="11">
        <f t="shared" si="1"/>
        <v>158105.40728000001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629.63136999999995</v>
      </c>
      <c r="G27" s="132">
        <f t="shared" ref="G27:I27" si="2">G28+G29+G30+G31+G32</f>
        <v>92895.029899999994</v>
      </c>
      <c r="H27" s="132">
        <f t="shared" si="2"/>
        <v>20082.970100000002</v>
      </c>
      <c r="I27" s="132">
        <f t="shared" si="2"/>
        <v>126977.61858000001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108.34633</f>
        <v>108.34632999999999</v>
      </c>
      <c r="G28" s="127">
        <f>24915.88582 - F56</f>
        <v>24915.88582</v>
      </c>
      <c r="H28" s="127">
        <f t="shared" ref="H28:H40" si="3">E28-G28</f>
        <v>3714.1141800000005</v>
      </c>
      <c r="I28" s="127">
        <f>35104.56442 - H56</f>
        <v>35104.564420000002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129.52594</f>
        <v>129.52593999999999</v>
      </c>
      <c r="G29" s="127">
        <f>26098.72238 - F57</f>
        <v>26098.722379999999</v>
      </c>
      <c r="H29" s="127">
        <f t="shared" si="3"/>
        <v>3566.2776200000008</v>
      </c>
      <c r="I29" s="127">
        <f>35951.4904899999 - H57</f>
        <v>35951.490489999996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282.46448</f>
        <v>282.46447999999998</v>
      </c>
      <c r="G30" s="127">
        <f>24286.13883 - F58</f>
        <v>24286.13883</v>
      </c>
      <c r="H30" s="127">
        <f t="shared" si="3"/>
        <v>2957.8611700000001</v>
      </c>
      <c r="I30" s="127">
        <f>32956.78474 - H58</f>
        <v>32956.784740000003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109.29462</f>
        <v>109.29461999999999</v>
      </c>
      <c r="G31" s="127">
        <f>17594.28287 - F59</f>
        <v>17594.282869999999</v>
      </c>
      <c r="H31" s="127">
        <f t="shared" si="3"/>
        <v>1744.7171300000009</v>
      </c>
      <c r="I31" s="127">
        <f>22964.77893 - H59</f>
        <v>22964.77893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0.295</f>
        <v>0.29499999999999998</v>
      </c>
      <c r="G33" s="132">
        <f>7851.84211</f>
        <v>7851.8421099999996</v>
      </c>
      <c r="H33" s="132">
        <f t="shared" si="3"/>
        <v>9007.1578900000004</v>
      </c>
      <c r="I33" s="132">
        <f>12478.77618</f>
        <v>12478.776180000001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208.34520000000001</v>
      </c>
      <c r="G34" s="132">
        <f>G35+G36</f>
        <v>10840.35693</v>
      </c>
      <c r="H34" s="132">
        <f t="shared" si="3"/>
        <v>4196.6430700000001</v>
      </c>
      <c r="I34" s="132">
        <f>I35+I36</f>
        <v>18649.01252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208.3452</f>
        <v>208.34520000000001</v>
      </c>
      <c r="G35" s="132">
        <f>13245.35693 - F60 - F61</f>
        <v>10840.35693</v>
      </c>
      <c r="H35" s="127">
        <f t="shared" si="3"/>
        <v>3236.6430700000001</v>
      </c>
      <c r="I35" s="127">
        <f>22149.01252 - H60 - H61</f>
        <v>18649.01252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229.6864</f>
        <v>229.68639999999999</v>
      </c>
      <c r="H37" s="139">
        <f t="shared" si="3"/>
        <v>1770.3136</v>
      </c>
      <c r="I37" s="139">
        <f>715.8804</f>
        <v>715.88040000000001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2.62646</f>
        <v>2.6264599999999998</v>
      </c>
      <c r="G38" s="98">
        <f>447.38817</f>
        <v>447.38817</v>
      </c>
      <c r="H38" s="98">
        <f t="shared" si="3"/>
        <v>407.61183</v>
      </c>
      <c r="I38" s="98">
        <f>455.66382</f>
        <v>455.66381999999999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55</v>
      </c>
      <c r="G39" s="98">
        <f>F61</f>
        <v>2405</v>
      </c>
      <c r="H39" s="98">
        <f t="shared" si="3"/>
        <v>595</v>
      </c>
      <c r="I39" s="98">
        <f>H61</f>
        <v>3500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10.39525</f>
        <v>10.395250000000001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0.16905</f>
        <v>0.16905000000000001</v>
      </c>
      <c r="G41" s="98">
        <f>310.72161</f>
        <v>310.72161</v>
      </c>
      <c r="H41" s="98">
        <f>E41-G41</f>
        <v>89.278390000000002</v>
      </c>
      <c r="I41" s="98">
        <f>327.2617</f>
        <v>327.26170000000002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106.14526</f>
        <v>106.14525999999999</v>
      </c>
      <c r="H43" s="139">
        <f t="shared" ref="H43" si="4">E43-G43</f>
        <v>-106.14525999999999</v>
      </c>
      <c r="I43" s="139">
        <f>57.60549</f>
        <v>57.605490000000003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972.31682999999987</v>
      </c>
      <c r="G44" s="76">
        <f t="shared" si="5"/>
        <v>157544.08690999998</v>
      </c>
      <c r="H44" s="76">
        <f t="shared" si="5"/>
        <v>61496.913090000002</v>
      </c>
      <c r="I44" s="76">
        <f t="shared" si="5"/>
        <v>212403.23477999997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304">
        <v>7872</v>
      </c>
      <c r="E55" s="11">
        <f>E59+E58+E57+E56</f>
        <v>0</v>
      </c>
      <c r="F55" s="11">
        <f>F59+F58+F57+F56</f>
        <v>0</v>
      </c>
      <c r="G55" s="304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305"/>
      <c r="E56" s="127"/>
      <c r="F56" s="127"/>
      <c r="G56" s="305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305"/>
      <c r="E57" s="127"/>
      <c r="F57" s="127"/>
      <c r="G57" s="305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305"/>
      <c r="E58" s="127"/>
      <c r="F58" s="127"/>
      <c r="G58" s="305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306"/>
      <c r="E59" s="192"/>
      <c r="F59" s="192"/>
      <c r="G59" s="306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55</v>
      </c>
      <c r="F61" s="139">
        <v>2405</v>
      </c>
      <c r="G61" s="139">
        <f>D61-F61</f>
        <v>595</v>
      </c>
      <c r="H61" s="139">
        <v>3500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04.2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7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38.445399999999999</v>
      </c>
      <c r="G92" s="11">
        <f t="shared" si="6"/>
        <v>22399.737609999996</v>
      </c>
      <c r="H92" s="11">
        <f t="shared" si="6"/>
        <v>3561.2623900000017</v>
      </c>
      <c r="I92" s="11">
        <f t="shared" si="6"/>
        <v>38267.124189999995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38.4454</f>
        <v>38.445399999999999</v>
      </c>
      <c r="G93" s="23">
        <f>21640.39336</f>
        <v>21640.393359999998</v>
      </c>
      <c r="H93" s="23">
        <f>E93-G93</f>
        <v>3495.6066400000018</v>
      </c>
      <c r="I93" s="23">
        <f>37773.79485</f>
        <v>37773.794849999998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759.34425</f>
        <v>759.34424999999999</v>
      </c>
      <c r="H94" s="50">
        <f>E94-G94</f>
        <v>65.655750000000012</v>
      </c>
      <c r="I94" s="50">
        <f>493.32934</f>
        <v>493.32934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1101.8738000000001</v>
      </c>
      <c r="G95" s="11">
        <f t="shared" si="7"/>
        <v>23503.928039999999</v>
      </c>
      <c r="H95" s="11">
        <f t="shared" si="7"/>
        <v>25490.071960000001</v>
      </c>
      <c r="I95" s="11">
        <f t="shared" si="7"/>
        <v>16067.27187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1082.07989</v>
      </c>
      <c r="G96" s="132">
        <f t="shared" si="8"/>
        <v>17775.095309999997</v>
      </c>
      <c r="H96" s="132">
        <f t="shared" si="8"/>
        <v>19718.904690000003</v>
      </c>
      <c r="I96" s="132">
        <f t="shared" si="8"/>
        <v>10928.79916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86.31095</f>
        <v>86.310950000000005</v>
      </c>
      <c r="G97" s="127">
        <f>3565.1094</f>
        <v>3565.1093999999998</v>
      </c>
      <c r="H97" s="127">
        <f t="shared" ref="H97:H104" si="9">E97-G97</f>
        <v>6449.8906000000006</v>
      </c>
      <c r="I97" s="127">
        <f>2071.81866</f>
        <v>2071.8186599999999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320.36802</f>
        <v>320.36802</v>
      </c>
      <c r="G98" s="127">
        <f>5894.42045</f>
        <v>5894.4204499999996</v>
      </c>
      <c r="H98" s="127">
        <f t="shared" si="9"/>
        <v>4719.5795500000004</v>
      </c>
      <c r="I98" s="127">
        <f>3330.44084</f>
        <v>3330.4408400000002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540.17756</f>
        <v>540.17755999999997</v>
      </c>
      <c r="G99" s="127">
        <f>5591.39895</f>
        <v>5591.3989499999998</v>
      </c>
      <c r="H99" s="127">
        <f t="shared" si="9"/>
        <v>4520.6010500000002</v>
      </c>
      <c r="I99" s="127">
        <f>2758.02512</f>
        <v>2758.0251199999998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135.22336</f>
        <v>135.22336000000001</v>
      </c>
      <c r="G100" s="127">
        <f>2724.16651</f>
        <v>2724.16651</v>
      </c>
      <c r="H100" s="127">
        <f t="shared" si="9"/>
        <v>4028.83349</v>
      </c>
      <c r="I100" s="127">
        <f>2768.51454</f>
        <v>2768.5145400000001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0.25536</f>
        <v>0.25535999999999998</v>
      </c>
      <c r="G101" s="132">
        <f>4116.10425</f>
        <v>4116.1042500000003</v>
      </c>
      <c r="H101" s="132">
        <f t="shared" si="9"/>
        <v>3479.8957499999997</v>
      </c>
      <c r="I101" s="132">
        <f>4007.7298</f>
        <v>4007.7298000000001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19.53855</f>
        <v>19.538550000000001</v>
      </c>
      <c r="G102" s="75">
        <f>1612.72848</f>
        <v>1612.72848</v>
      </c>
      <c r="H102" s="75">
        <f t="shared" si="9"/>
        <v>2291.2715200000002</v>
      </c>
      <c r="I102" s="75">
        <f>1130.74291</f>
        <v>1130.7429099999999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35.97262</f>
        <v>35.972619999999999</v>
      </c>
      <c r="H103" s="98">
        <f t="shared" si="9"/>
        <v>283.02737999999999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0.2743</f>
        <v>0.27429999999999999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0.0114</f>
        <v>1.14E-2</v>
      </c>
      <c r="G105" s="98">
        <f>19.12532</f>
        <v>19.125319999999999</v>
      </c>
      <c r="H105" s="139">
        <f>E105-G105</f>
        <v>30.874680000000001</v>
      </c>
      <c r="I105" s="98">
        <f>6.48146</f>
        <v>6.4814600000000002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16.02412</f>
        <v>16.02412</v>
      </c>
      <c r="H106" s="139">
        <f t="shared" ref="H106" si="10">E106-G106</f>
        <v>-16.02412</v>
      </c>
      <c r="I106" s="139">
        <f>23.28016</f>
        <v>23.280159999999999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1140.6049000000003</v>
      </c>
      <c r="G107" s="76">
        <f t="shared" si="12"/>
        <v>46274.787709999997</v>
      </c>
      <c r="H107" s="76">
        <f t="shared" si="12"/>
        <v>29349.212290000007</v>
      </c>
      <c r="I107" s="76">
        <f t="shared" si="12"/>
        <v>54675.406350000005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501.73964999999998</v>
      </c>
      <c r="G128" s="11">
        <f t="shared" si="13"/>
        <v>36068.489669999995</v>
      </c>
      <c r="H128" s="11">
        <f t="shared" si="13"/>
        <v>36238.510330000005</v>
      </c>
      <c r="I128" s="11">
        <f t="shared" si="13"/>
        <v>33652.896460000004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501.73965</f>
        <v>501.73964999999998</v>
      </c>
      <c r="G129" s="23">
        <f>31795.74657</f>
        <v>31795.746569999999</v>
      </c>
      <c r="H129" s="23">
        <f>E129-G129</f>
        <v>25766.253430000001</v>
      </c>
      <c r="I129" s="23">
        <f>29004.89943</f>
        <v>29004.899430000001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4207.29295</f>
        <v>4207.29295</v>
      </c>
      <c r="H130" s="23">
        <f>E130-G130</f>
        <v>10037.707050000001</v>
      </c>
      <c r="I130" s="23">
        <f>4532.69078</f>
        <v>4532.6907799999999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1049.7538</f>
        <v>1049.7538</v>
      </c>
      <c r="G132" s="95">
        <f>1875.1706+1729.923675</f>
        <v>3605.0942749999999</v>
      </c>
      <c r="H132" s="95">
        <f>E132-G132</f>
        <v>48890.905724999997</v>
      </c>
      <c r="I132" s="95">
        <f>5487.44981</f>
        <v>5487.4498100000001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327.59832</v>
      </c>
      <c r="G133" s="94">
        <f t="shared" ref="G133" si="14">G134+G139+G142</f>
        <v>43714.139255000002</v>
      </c>
      <c r="H133" s="94">
        <f>H134+H139+H142</f>
        <v>36450.860744999998</v>
      </c>
      <c r="I133" s="94">
        <f>I134+I139+I142</f>
        <v>43584.170019999998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243.87961000000001</v>
      </c>
      <c r="G134" s="125">
        <f>G135+G136+G138+G137</f>
        <v>32509.816785000003</v>
      </c>
      <c r="H134" s="125">
        <f>H135+H136+H137+H138</f>
        <v>26569.183215000001</v>
      </c>
      <c r="I134" s="125">
        <f>I135+I136+I137+I138</f>
        <v>34443.409079999998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77.46538</f>
        <v>77.465379999999996</v>
      </c>
      <c r="G135" s="127">
        <v>6280.4007199999996</v>
      </c>
      <c r="H135" s="127">
        <f>E135-G135</f>
        <v>11493.59928</v>
      </c>
      <c r="I135" s="127">
        <f>5482.71597</f>
        <v>5482.7159700000002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40.40661</f>
        <v>40.406610000000001</v>
      </c>
      <c r="G136" s="127">
        <v>10096.862284999999</v>
      </c>
      <c r="H136" s="127">
        <f>E136-G136</f>
        <v>4842.1377150000008</v>
      </c>
      <c r="I136" s="127">
        <f>9704.57669</f>
        <v>9704.5766899999999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66.55522</f>
        <v>66.555220000000006</v>
      </c>
      <c r="G137" s="127">
        <v>8494.9745800000001</v>
      </c>
      <c r="H137" s="127">
        <f>E137-G137</f>
        <v>4556.0254199999999</v>
      </c>
      <c r="I137" s="127">
        <f>9146.2919</f>
        <v>9146.2919000000002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59.4524</f>
        <v>59.452399999999997</v>
      </c>
      <c r="G138" s="127">
        <v>7637.579200000001</v>
      </c>
      <c r="H138" s="127">
        <f>E138-G138</f>
        <v>5677.420799999999</v>
      </c>
      <c r="I138" s="127">
        <f>10109.82452</f>
        <v>10109.82452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10.028</v>
      </c>
      <c r="G139" s="132">
        <f>SUM(G140:G141)</f>
        <v>8153.7280300000002</v>
      </c>
      <c r="H139" s="132">
        <f>H140+H141</f>
        <v>776.27197000000001</v>
      </c>
      <c r="I139" s="132">
        <f>SUM(I140:I141)</f>
        <v>6113.80915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10.028</f>
        <v>10.028</v>
      </c>
      <c r="G140" s="127">
        <f>7949.21202</f>
        <v>7949.2120199999999</v>
      </c>
      <c r="H140" s="127">
        <f t="shared" ref="H140:H148" si="15">E140-G140</f>
        <v>480.78798000000006</v>
      </c>
      <c r="I140" s="127">
        <f>5991.94417</f>
        <v>5991.9441699999998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0</f>
        <v>0</v>
      </c>
      <c r="G141" s="127">
        <f>204.51601</f>
        <v>204.51600999999999</v>
      </c>
      <c r="H141" s="127">
        <f t="shared" si="15"/>
        <v>295.48399000000001</v>
      </c>
      <c r="I141" s="127">
        <f>121.86498</f>
        <v>121.86498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73.69071</f>
        <v>73.690709999999996</v>
      </c>
      <c r="G142" s="75">
        <f>3050.59444</f>
        <v>3050.5944399999998</v>
      </c>
      <c r="H142" s="75">
        <f t="shared" si="15"/>
        <v>9105.4055599999992</v>
      </c>
      <c r="I142" s="75">
        <f>3026.95179</f>
        <v>3026.9517900000001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15.6255</f>
        <v>15.625500000000001</v>
      </c>
      <c r="H143" s="139">
        <f t="shared" si="15"/>
        <v>130.37450000000001</v>
      </c>
      <c r="I143" s="139">
        <f>21.32725</f>
        <v>21.327249999999999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188.032</f>
        <v>188.03200000000001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7.28725</f>
        <v>7.2872500000000002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0.2241</f>
        <v>0.22409999999999999</v>
      </c>
      <c r="G147" s="98">
        <f>37.91413</f>
        <v>37.91413</v>
      </c>
      <c r="H147" s="139">
        <f t="shared" si="15"/>
        <v>238.08587</v>
      </c>
      <c r="I147" s="98">
        <f>26.36663</f>
        <v>26.366630000000001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109.98109</f>
        <v>109.98108999999999</v>
      </c>
      <c r="H148" s="139">
        <f t="shared" si="15"/>
        <v>-109.98108999999999</v>
      </c>
      <c r="I148" s="139">
        <f>86.5963</f>
        <v>86.596299999999999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1886.60312</v>
      </c>
      <c r="G150" s="76">
        <f>G128+G132+G133+G143+G144+G145+G146+G147+G148</f>
        <v>85551.243920000008</v>
      </c>
      <c r="H150" s="76">
        <f>H128+H132+H133+H143+H144+H145+H146+H147+H148</f>
        <v>122088.75608000001</v>
      </c>
      <c r="I150" s="76">
        <f>I128+I132+I133+I143+I144+I145+I146+I147+I148</f>
        <v>85046.838470000017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2.13129</f>
        <v>2.1312899999999999</v>
      </c>
      <c r="F175" s="275">
        <f>353.36236</f>
        <v>353.36236000000002</v>
      </c>
      <c r="G175" s="43">
        <f>D175-F175-F176</f>
        <v>3089.0780299999997</v>
      </c>
      <c r="H175" s="275">
        <f>670.60621</f>
        <v>670.60621000000003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21.0616</f>
        <v>21.061599999999999</v>
      </c>
      <c r="F176" s="152">
        <f>780.55961</f>
        <v>780.55961000000002</v>
      </c>
      <c r="G176" s="216"/>
      <c r="H176" s="152">
        <f>454.95365</f>
        <v>454.95364999999998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15.7369</f>
        <v>15.7369</v>
      </c>
      <c r="F177" s="172">
        <f>58.0795</f>
        <v>58.079500000000003</v>
      </c>
      <c r="G177" s="172">
        <f>D177-F177</f>
        <v>141.9205</v>
      </c>
      <c r="H177" s="172">
        <f>38.6039</f>
        <v>38.603900000000003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1.8232200000000001</v>
      </c>
      <c r="F178" s="181">
        <f>F179+F180+F181</f>
        <v>113.38805000000001</v>
      </c>
      <c r="G178" s="181">
        <f>D178-F178</f>
        <v>6220.6119500000004</v>
      </c>
      <c r="H178" s="181">
        <f>H179+H180+H181</f>
        <v>34.105980000000002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1.01254</f>
        <v>1.01254</v>
      </c>
      <c r="F179" s="127">
        <f>52.94273</f>
        <v>52.942729999999997</v>
      </c>
      <c r="G179" s="127"/>
      <c r="H179" s="127">
        <f>10.81018</f>
        <v>10.810180000000001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0.7096</f>
        <v>0.70960000000000001</v>
      </c>
      <c r="F180" s="127">
        <f>28.56382</f>
        <v>28.56382</v>
      </c>
      <c r="G180" s="127"/>
      <c r="H180" s="127">
        <f>22.19168</f>
        <v>22.191680000000002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0.10108</f>
        <v>0.10108</v>
      </c>
      <c r="F181" s="192">
        <f>31.8815</f>
        <v>31.881499999999999</v>
      </c>
      <c r="G181" s="192"/>
      <c r="H181" s="192">
        <f>1.10412</f>
        <v>1.10412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40.753009999999996</v>
      </c>
      <c r="F184" s="194">
        <f>F175+F176+F177+F178+F182+F183</f>
        <v>1305.3895200000002</v>
      </c>
      <c r="G184" s="194">
        <f>D184-F184</f>
        <v>9517.6104799999994</v>
      </c>
      <c r="H184" s="194">
        <f>H175+H176+H177+H178+H182+H183</f>
        <v>1198.2697400000002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18.42225</f>
        <v>18.422249999999998</v>
      </c>
      <c r="F204" s="124">
        <f>13470.23215</f>
        <v>13470.23215</v>
      </c>
      <c r="G204" s="124">
        <f>D204-F204</f>
        <v>32811.767850000004</v>
      </c>
      <c r="H204" s="124">
        <f>8914.39678</f>
        <v>8914.3967799999991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0.4111</f>
        <v>0.41110000000000002</v>
      </c>
      <c r="F205" s="124">
        <f>16.15243</f>
        <v>16.152429999999999</v>
      </c>
      <c r="G205" s="124">
        <f>D205-F205</f>
        <v>83.847570000000005</v>
      </c>
      <c r="H205" s="124">
        <f>2.30513</f>
        <v>2.3051300000000001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18.833349999999999</v>
      </c>
      <c r="F207" s="190">
        <f>SUM(F204:F206)</f>
        <v>13486.38458</v>
      </c>
      <c r="G207" s="190">
        <f>D207-F207</f>
        <v>32931.615420000002</v>
      </c>
      <c r="H207" s="190">
        <f>SUM(H204:H206)</f>
        <v>8916.7019099999998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16.01342</v>
      </c>
      <c r="F249" s="75">
        <f>F250+F251</f>
        <v>2610.0171</v>
      </c>
      <c r="G249" s="75">
        <f>D249-F249</f>
        <v>1376.9829</v>
      </c>
      <c r="H249" s="75">
        <f>H250+H251</f>
        <v>1503.85331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11.5898</f>
        <v>11.5898</v>
      </c>
      <c r="F250" s="75">
        <f>2144.98937</f>
        <v>2144.9893699999998</v>
      </c>
      <c r="G250" s="75"/>
      <c r="H250" s="75">
        <f>1087.82546</f>
        <v>1087.82546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4.42362</f>
        <v>4.4236199999999997</v>
      </c>
      <c r="F251" s="124">
        <f>465.02773</f>
        <v>465.02773000000002</v>
      </c>
      <c r="G251" s="168"/>
      <c r="H251" s="124">
        <f>416.02785</f>
        <v>416.02785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236.43086</f>
        <v>236.43086</v>
      </c>
      <c r="F252" s="75">
        <f>3778.72593</f>
        <v>3778.7259300000001</v>
      </c>
      <c r="G252" s="75">
        <f>D252-F252</f>
        <v>834.27406999999994</v>
      </c>
      <c r="H252" s="75">
        <f>3454.54821</f>
        <v>3454.5482099999999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252.44427999999999</v>
      </c>
      <c r="F253" s="190">
        <f>SUM(F249,F252)</f>
        <v>6388.7430299999996</v>
      </c>
      <c r="G253" s="190">
        <f>D253-F253</f>
        <v>2211.2569700000004</v>
      </c>
      <c r="H253" s="190">
        <f>SUM(H249,H252)</f>
        <v>4958.4015199999994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49.254779999999997</v>
      </c>
      <c r="F295" s="75">
        <f>F296+F297</f>
        <v>2478.0983999999999</v>
      </c>
      <c r="G295" s="75">
        <f>D295-F295</f>
        <v>2611.9016000000001</v>
      </c>
      <c r="H295" s="75">
        <f>H296+H297</f>
        <v>1300.9197899999999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47.6562</f>
        <v>47.656199999999998</v>
      </c>
      <c r="F296" s="75">
        <f>2114.29481</f>
        <v>2114.2948099999999</v>
      </c>
      <c r="G296" s="75"/>
      <c r="H296" s="75">
        <f>990.50366</f>
        <v>990.50365999999997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1.59858</f>
        <v>1.5985799999999999</v>
      </c>
      <c r="F297" s="124">
        <f>363.80359</f>
        <v>363.80358999999999</v>
      </c>
      <c r="G297" s="168"/>
      <c r="H297" s="124">
        <f>310.41613</f>
        <v>310.41613000000001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47.23842</f>
        <v>47.238419999999998</v>
      </c>
      <c r="F298" s="75">
        <f>1684.71264</f>
        <v>1684.71264</v>
      </c>
      <c r="G298" s="75">
        <f>D298-F298</f>
        <v>1296.28736</v>
      </c>
      <c r="H298" s="75">
        <f>1677.23024</f>
        <v>1677.2302400000001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96.493200000000002</v>
      </c>
      <c r="F299" s="190">
        <f>SUM(F295,F298)</f>
        <v>4162.8110399999996</v>
      </c>
      <c r="G299" s="190">
        <f>D299-F299</f>
        <v>3908.1889600000004</v>
      </c>
      <c r="H299" s="190">
        <f>SUM(H295,H298)</f>
        <v>2978.1500299999998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30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4.91665</f>
        <v>4.9166499999999997</v>
      </c>
      <c r="F350" s="124">
        <f>267.8234</f>
        <v>267.82339999999999</v>
      </c>
      <c r="G350" s="124">
        <f>D350-F350</f>
        <v>532.17660000000001</v>
      </c>
      <c r="H350" s="124">
        <f>179.7644</f>
        <v>179.76439999999999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16.6773</f>
        <v>16.677299999999999</v>
      </c>
      <c r="F351" s="124">
        <f>482.62914</f>
        <v>482.62914000000001</v>
      </c>
      <c r="G351" s="124">
        <f>D351-F351</f>
        <v>2558.37086</v>
      </c>
      <c r="H351" s="124">
        <f>516.1994</f>
        <v>516.19939999999997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0.6352</f>
        <v>0.63519999999999999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0.57632</f>
        <v>0.57632000000000005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21.59395</v>
      </c>
      <c r="F354" s="190">
        <f>SUM(F350:F353)</f>
        <v>751.1096</v>
      </c>
      <c r="G354" s="190">
        <f>D354-F354</f>
        <v>3099.8904000000002</v>
      </c>
      <c r="H354" s="190">
        <f>H350+H351+H352+H353</f>
        <v>697.17532000000006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133.18096</v>
      </c>
      <c r="G380" s="252">
        <f t="shared" si="17"/>
        <v>6108.5275099999999</v>
      </c>
      <c r="H380" s="252">
        <f>H384+H383+H382+H381</f>
        <v>16860.47249</v>
      </c>
      <c r="I380" s="252">
        <f t="shared" si="17"/>
        <v>4110.9884099999999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3964.58471</f>
        <v>3964.5847100000001</v>
      </c>
      <c r="H381" s="256">
        <f t="shared" ref="H381:H385" si="18">E381-G381</f>
        <v>9225.4152900000008</v>
      </c>
      <c r="I381" s="256">
        <f>1953.44012</f>
        <v>1953.44012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832.04145</f>
        <v>832.04145000000005</v>
      </c>
      <c r="H382" s="256">
        <f t="shared" si="18"/>
        <v>2600.9585499999998</v>
      </c>
      <c r="I382" s="256">
        <f>764.7831</f>
        <v>764.78309999999999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21.24156</f>
        <v>21.24156</v>
      </c>
      <c r="G383" s="256">
        <f>986.20369</f>
        <v>986.20369000000005</v>
      </c>
      <c r="H383" s="256">
        <f t="shared" si="18"/>
        <v>496.79630999999995</v>
      </c>
      <c r="I383" s="256">
        <f>1035.67549</f>
        <v>1035.6754900000001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111.9394</f>
        <v>111.93940000000001</v>
      </c>
      <c r="G384" s="256">
        <f>325.69766</f>
        <v>325.69765999999998</v>
      </c>
      <c r="H384" s="256">
        <f t="shared" si="18"/>
        <v>4537.3023400000002</v>
      </c>
      <c r="I384" s="256">
        <f>357.0897</f>
        <v>357.08969999999999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361.24126</f>
        <v>361.24126000000001</v>
      </c>
      <c r="G385" s="267">
        <f>1475.92742</f>
        <v>1475.92742</v>
      </c>
      <c r="H385" s="267">
        <f t="shared" si="18"/>
        <v>4024.07258</v>
      </c>
      <c r="I385" s="267">
        <f>3929.27796</f>
        <v>3929.2779599999999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19.141839999999998</v>
      </c>
      <c r="G386" s="268">
        <f>G388+G387</f>
        <v>1383.4319500000001</v>
      </c>
      <c r="H386" s="268">
        <f>E386-G386</f>
        <v>6616.5680499999999</v>
      </c>
      <c r="I386" s="268">
        <f>I388+I387</f>
        <v>1699.37574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518.61546</f>
        <v>518.61545999999998</v>
      </c>
      <c r="H387" s="256"/>
      <c r="I387" s="256">
        <f>747.04165</f>
        <v>747.04165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19.14184</f>
        <v>19.141839999999998</v>
      </c>
      <c r="G388" s="277">
        <f>864.81649</f>
        <v>864.81649000000004</v>
      </c>
      <c r="H388" s="277"/>
      <c r="I388" s="277">
        <f>952.33409</f>
        <v>952.33408999999995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0.0651</f>
        <v>6.5100000000000005E-2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0.0252</f>
        <v>2.52E-2</v>
      </c>
      <c r="G390" s="267">
        <f>4.66184</f>
        <v>4.6618399999999998</v>
      </c>
      <c r="H390" s="267">
        <f>E390-G390</f>
        <v>-4.6618399999999998</v>
      </c>
      <c r="I390" s="267">
        <f>23.4666</f>
        <v>23.4666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513.58926000000008</v>
      </c>
      <c r="G391" s="286">
        <f t="shared" si="19"/>
        <v>8972.5751200000013</v>
      </c>
      <c r="H391" s="286">
        <f>H380+H385+H386+H389+H390</f>
        <v>27509.424880000002</v>
      </c>
      <c r="I391" s="286">
        <f t="shared" si="19"/>
        <v>9763.1738099999984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300" t="s">
        <v>120</v>
      </c>
      <c r="D407" s="300"/>
      <c r="E407" s="300"/>
      <c r="F407" s="300"/>
      <c r="G407" s="300"/>
      <c r="H407" s="300"/>
      <c r="I407" s="150"/>
      <c r="J407" s="130"/>
    </row>
    <row r="408" spans="1:10" ht="14.1" customHeight="1" x14ac:dyDescent="0.25">
      <c r="A408" s="217"/>
      <c r="B408" s="72"/>
      <c r="C408" s="300"/>
      <c r="D408" s="300"/>
      <c r="E408" s="300"/>
      <c r="F408" s="300"/>
      <c r="G408" s="300"/>
      <c r="H408" s="300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70.764499999999998</v>
      </c>
      <c r="F419" s="36">
        <f>SUM(F420:F421)</f>
        <v>877.44047999999998</v>
      </c>
      <c r="G419" s="85">
        <f>D419-F419</f>
        <v>357.55952000000002</v>
      </c>
      <c r="H419" s="36">
        <f>SUM(H420:H421)</f>
        <v>1230.30927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54.7908</f>
        <v>54.790799999999997</v>
      </c>
      <c r="F420" s="30">
        <f>623.69994</f>
        <v>623.69993999999997</v>
      </c>
      <c r="G420" s="97"/>
      <c r="H420" s="30">
        <f>880.80668</f>
        <v>880.80668000000003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15.9737</f>
        <v>15.973699999999999</v>
      </c>
      <c r="F421" s="30">
        <f>253.74054</f>
        <v>253.74054000000001</v>
      </c>
      <c r="G421" s="108"/>
      <c r="H421" s="30">
        <f>349.50259</f>
        <v>349.50259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70.764499999999998</v>
      </c>
      <c r="F423" s="40">
        <f>F413+F416+F419+F422</f>
        <v>3087.84069</v>
      </c>
      <c r="G423" s="41"/>
      <c r="H423" s="40">
        <f>H413+H416+H419+H422</f>
        <v>4962.35293</v>
      </c>
      <c r="I423" s="27"/>
      <c r="J423" s="130"/>
    </row>
    <row r="424" spans="1:10" ht="42" customHeight="1" x14ac:dyDescent="0.25">
      <c r="A424" s="217"/>
      <c r="B424" s="72"/>
      <c r="C424" s="301" t="s">
        <v>121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407:H408"/>
    <mergeCell ref="C424:J424"/>
    <mergeCell ref="C52:H52"/>
    <mergeCell ref="D55:D59"/>
    <mergeCell ref="G55:G59"/>
    <mergeCell ref="C81:D81"/>
    <mergeCell ref="E81:F81"/>
    <mergeCell ref="G81:H81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20&amp;R21.05.2024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2024-05-22T07:01:48Z</dcterms:modified>
</cp:coreProperties>
</file>