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C942D27E-7F2C-4BB7-A5BE-47DE07E645E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D331" i="1"/>
  <c r="H329" i="1"/>
  <c r="F329" i="1"/>
  <c r="E329" i="1"/>
  <c r="H328" i="1"/>
  <c r="F328" i="1"/>
  <c r="E328" i="1"/>
  <c r="H327" i="1"/>
  <c r="F327" i="1"/>
  <c r="G327" i="1" s="1"/>
  <c r="E327" i="1"/>
  <c r="H326" i="1"/>
  <c r="F326" i="1"/>
  <c r="E326" i="1"/>
  <c r="H325" i="1"/>
  <c r="F325" i="1"/>
  <c r="F324" i="1" s="1"/>
  <c r="G324" i="1" s="1"/>
  <c r="E325" i="1"/>
  <c r="H324" i="1"/>
  <c r="E324" i="1"/>
  <c r="H323" i="1"/>
  <c r="H321" i="1" s="1"/>
  <c r="H331" i="1" s="1"/>
  <c r="F323" i="1"/>
  <c r="E323" i="1"/>
  <c r="E321" i="1" s="1"/>
  <c r="E331" i="1" s="1"/>
  <c r="H322" i="1"/>
  <c r="F322" i="1"/>
  <c r="F321" i="1" s="1"/>
  <c r="E322" i="1"/>
  <c r="D299" i="1"/>
  <c r="I298" i="1"/>
  <c r="G298" i="1"/>
  <c r="H298" i="1" s="1"/>
  <c r="F298" i="1"/>
  <c r="I297" i="1"/>
  <c r="H297" i="1"/>
  <c r="G297" i="1"/>
  <c r="F297" i="1"/>
  <c r="I296" i="1"/>
  <c r="I294" i="1" s="1"/>
  <c r="G296" i="1"/>
  <c r="F296" i="1"/>
  <c r="F294" i="1" s="1"/>
  <c r="I295" i="1"/>
  <c r="G295" i="1"/>
  <c r="G294" i="1" s="1"/>
  <c r="H294" i="1" s="1"/>
  <c r="F295" i="1"/>
  <c r="I293" i="1"/>
  <c r="G293" i="1"/>
  <c r="H293" i="1" s="1"/>
  <c r="F293" i="1"/>
  <c r="I292" i="1"/>
  <c r="H292" i="1"/>
  <c r="G292" i="1"/>
  <c r="F292" i="1"/>
  <c r="I291" i="1"/>
  <c r="I288" i="1" s="1"/>
  <c r="G291" i="1"/>
  <c r="G288" i="1" s="1"/>
  <c r="F291" i="1"/>
  <c r="F288" i="1" s="1"/>
  <c r="F299" i="1" s="1"/>
  <c r="I290" i="1"/>
  <c r="H290" i="1"/>
  <c r="G290" i="1"/>
  <c r="F290" i="1"/>
  <c r="I289" i="1"/>
  <c r="G289" i="1"/>
  <c r="H289" i="1" s="1"/>
  <c r="F289" i="1"/>
  <c r="E288" i="1"/>
  <c r="E299" i="1" s="1"/>
  <c r="D288" i="1"/>
  <c r="H280" i="1"/>
  <c r="F280" i="1"/>
  <c r="D262" i="1"/>
  <c r="H261" i="1"/>
  <c r="F261" i="1"/>
  <c r="E261" i="1"/>
  <c r="H260" i="1"/>
  <c r="G260" i="1"/>
  <c r="F260" i="1"/>
  <c r="E260" i="1"/>
  <c r="H259" i="1"/>
  <c r="F259" i="1"/>
  <c r="G259" i="1" s="1"/>
  <c r="E259" i="1"/>
  <c r="H258" i="1"/>
  <c r="H262" i="1" s="1"/>
  <c r="G258" i="1"/>
  <c r="F258" i="1"/>
  <c r="F262" i="1" s="1"/>
  <c r="G262" i="1" s="1"/>
  <c r="E258" i="1"/>
  <c r="E262" i="1" s="1"/>
  <c r="D251" i="1"/>
  <c r="D207" i="1"/>
  <c r="G206" i="1"/>
  <c r="H205" i="1"/>
  <c r="G205" i="1"/>
  <c r="F205" i="1"/>
  <c r="E205" i="1"/>
  <c r="H204" i="1"/>
  <c r="H207" i="1" s="1"/>
  <c r="F204" i="1"/>
  <c r="F207" i="1" s="1"/>
  <c r="E204" i="1"/>
  <c r="E207" i="1" s="1"/>
  <c r="D184" i="1"/>
  <c r="H182" i="1"/>
  <c r="G182" i="1"/>
  <c r="F182" i="1"/>
  <c r="E182" i="1"/>
  <c r="H181" i="1"/>
  <c r="F181" i="1"/>
  <c r="E181" i="1"/>
  <c r="H180" i="1"/>
  <c r="F180" i="1"/>
  <c r="E180" i="1"/>
  <c r="H179" i="1"/>
  <c r="H178" i="1" s="1"/>
  <c r="F179" i="1"/>
  <c r="E179" i="1"/>
  <c r="E178" i="1" s="1"/>
  <c r="E184" i="1" s="1"/>
  <c r="G178" i="1"/>
  <c r="F178" i="1"/>
  <c r="H177" i="1"/>
  <c r="G177" i="1"/>
  <c r="F177" i="1"/>
  <c r="E177" i="1"/>
  <c r="H176" i="1"/>
  <c r="F176" i="1"/>
  <c r="G175" i="1" s="1"/>
  <c r="E176" i="1"/>
  <c r="H175" i="1"/>
  <c r="F175" i="1"/>
  <c r="F184" i="1" s="1"/>
  <c r="E175" i="1"/>
  <c r="D150" i="1"/>
  <c r="H147" i="1"/>
  <c r="H146" i="1"/>
  <c r="H145" i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H140" i="1"/>
  <c r="G140" i="1"/>
  <c r="F140" i="1"/>
  <c r="I139" i="1"/>
  <c r="G139" i="1"/>
  <c r="F139" i="1"/>
  <c r="E139" i="1"/>
  <c r="I138" i="1"/>
  <c r="H138" i="1"/>
  <c r="F138" i="1"/>
  <c r="I137" i="1"/>
  <c r="H137" i="1"/>
  <c r="F137" i="1"/>
  <c r="I136" i="1"/>
  <c r="H136" i="1"/>
  <c r="F136" i="1"/>
  <c r="I135" i="1"/>
  <c r="H135" i="1"/>
  <c r="H134" i="1" s="1"/>
  <c r="G134" i="1"/>
  <c r="G133" i="1" s="1"/>
  <c r="F135" i="1"/>
  <c r="I134" i="1"/>
  <c r="F134" i="1"/>
  <c r="E134" i="1"/>
  <c r="I133" i="1"/>
  <c r="F133" i="1"/>
  <c r="E133" i="1"/>
  <c r="I132" i="1"/>
  <c r="F132" i="1"/>
  <c r="H131" i="1"/>
  <c r="I130" i="1"/>
  <c r="H130" i="1"/>
  <c r="G130" i="1"/>
  <c r="F130" i="1"/>
  <c r="I129" i="1"/>
  <c r="I128" i="1" s="1"/>
  <c r="I150" i="1" s="1"/>
  <c r="G129" i="1"/>
  <c r="G128" i="1" s="1"/>
  <c r="F129" i="1"/>
  <c r="F128" i="1" s="1"/>
  <c r="F150" i="1" s="1"/>
  <c r="E128" i="1"/>
  <c r="E150" i="1" s="1"/>
  <c r="C126" i="1"/>
  <c r="D107" i="1"/>
  <c r="H106" i="1"/>
  <c r="H105" i="1"/>
  <c r="H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F96" i="1" s="1"/>
  <c r="F95" i="1" s="1"/>
  <c r="I97" i="1"/>
  <c r="G97" i="1"/>
  <c r="H97" i="1" s="1"/>
  <c r="F97" i="1"/>
  <c r="I96" i="1"/>
  <c r="I95" i="1" s="1"/>
  <c r="E96" i="1"/>
  <c r="E95" i="1"/>
  <c r="E107" i="1" s="1"/>
  <c r="I94" i="1"/>
  <c r="H94" i="1"/>
  <c r="G94" i="1"/>
  <c r="F94" i="1"/>
  <c r="I93" i="1"/>
  <c r="I92" i="1" s="1"/>
  <c r="G93" i="1"/>
  <c r="G92" i="1" s="1"/>
  <c r="F93" i="1"/>
  <c r="F92" i="1" s="1"/>
  <c r="C89" i="1"/>
  <c r="H85" i="1"/>
  <c r="F85" i="1"/>
  <c r="D85" i="1"/>
  <c r="G61" i="1"/>
  <c r="G60" i="1"/>
  <c r="H55" i="1"/>
  <c r="F55" i="1"/>
  <c r="G32" i="1" s="1"/>
  <c r="E55" i="1"/>
  <c r="D44" i="1"/>
  <c r="H43" i="1"/>
  <c r="H42" i="1"/>
  <c r="H41" i="1"/>
  <c r="H40" i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H35" i="1"/>
  <c r="G35" i="1"/>
  <c r="F35" i="1"/>
  <c r="F34" i="1" s="1"/>
  <c r="F26" i="1" s="1"/>
  <c r="I34" i="1"/>
  <c r="G34" i="1"/>
  <c r="E34" i="1"/>
  <c r="H34" i="1" s="1"/>
  <c r="I33" i="1"/>
  <c r="G33" i="1"/>
  <c r="H33" i="1" s="1"/>
  <c r="F33" i="1"/>
  <c r="I32" i="1"/>
  <c r="F32" i="1"/>
  <c r="I31" i="1"/>
  <c r="G31" i="1"/>
  <c r="H31" i="1" s="1"/>
  <c r="F31" i="1"/>
  <c r="I30" i="1"/>
  <c r="H30" i="1"/>
  <c r="G30" i="1"/>
  <c r="F30" i="1"/>
  <c r="I29" i="1"/>
  <c r="G29" i="1"/>
  <c r="H29" i="1" s="1"/>
  <c r="F29" i="1"/>
  <c r="I28" i="1"/>
  <c r="H28" i="1"/>
  <c r="G28" i="1"/>
  <c r="F28" i="1"/>
  <c r="I27" i="1"/>
  <c r="F27" i="1"/>
  <c r="E27" i="1"/>
  <c r="E26" i="1" s="1"/>
  <c r="I26" i="1"/>
  <c r="I25" i="1"/>
  <c r="I23" i="1" s="1"/>
  <c r="I44" i="1" s="1"/>
  <c r="H25" i="1"/>
  <c r="G25" i="1"/>
  <c r="F25" i="1"/>
  <c r="F23" i="1" s="1"/>
  <c r="I24" i="1"/>
  <c r="G24" i="1"/>
  <c r="H24" i="1" s="1"/>
  <c r="H23" i="1" s="1"/>
  <c r="F24" i="1"/>
  <c r="E23" i="1"/>
  <c r="H16" i="1"/>
  <c r="F16" i="1"/>
  <c r="D16" i="1"/>
  <c r="F44" i="1" l="1"/>
  <c r="H32" i="1"/>
  <c r="H27" i="1" s="1"/>
  <c r="H26" i="1" s="1"/>
  <c r="H44" i="1" s="1"/>
  <c r="G27" i="1"/>
  <c r="F107" i="1"/>
  <c r="G299" i="1"/>
  <c r="G321" i="1"/>
  <c r="G331" i="1" s="1"/>
  <c r="F331" i="1"/>
  <c r="I299" i="1"/>
  <c r="I107" i="1"/>
  <c r="G184" i="1"/>
  <c r="H96" i="1"/>
  <c r="H95" i="1" s="1"/>
  <c r="H139" i="1"/>
  <c r="H133" i="1" s="1"/>
  <c r="H184" i="1"/>
  <c r="G207" i="1"/>
  <c r="E44" i="1"/>
  <c r="G26" i="1"/>
  <c r="G150" i="1"/>
  <c r="G23" i="1"/>
  <c r="G44" i="1" s="1"/>
  <c r="G96" i="1"/>
  <c r="G95" i="1" s="1"/>
  <c r="G107" i="1" s="1"/>
  <c r="G204" i="1"/>
  <c r="H93" i="1"/>
  <c r="H92" i="1" s="1"/>
  <c r="H129" i="1"/>
  <c r="H128" i="1" s="1"/>
  <c r="H291" i="1"/>
  <c r="H288" i="1" s="1"/>
  <c r="H299" i="1" s="1"/>
  <c r="G55" i="1"/>
  <c r="H150" i="1" l="1"/>
  <c r="H107" i="1"/>
</calcChain>
</file>

<file path=xl/sharedStrings.xml><?xml version="1.0" encoding="utf-8"?>
<sst xmlns="http://schemas.openxmlformats.org/spreadsheetml/2006/main" count="328" uniqueCount="146">
  <si>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</si>
  <si>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</si>
  <si>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</si>
  <si>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</si>
  <si>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</si>
  <si>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</si>
  <si>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</si>
  <si>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</si>
  <si>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</si>
  <si>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</si>
  <si>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</si>
  <si>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</si>
  <si>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</si>
  <si>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</si>
  <si>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</si>
  <si>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</si>
  <si>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</si>
  <si>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</si>
  <si>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</si>
  <si>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</si>
  <si>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</si>
  <si>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</si>
  <si>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</si>
  <si>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</si>
  <si>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</si>
  <si>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</si>
  <si>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</si>
  <si>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</si>
  <si>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</si>
  <si>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</si>
  <si>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</si>
  <si>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</si>
  <si>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</si>
  <si>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</si>
  <si>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</si>
  <si>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</si>
  <si>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</si>
  <si>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</si>
  <si>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</si>
  <si>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</si>
  <si>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</si>
  <si>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</si>
  <si>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</si>
  <si>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</si>
  <si>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</si>
  <si>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</si>
  <si>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</si>
  <si>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</si>
  <si>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</si>
  <si>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</si>
  <si>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</si>
  <si>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</si>
  <si>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</si>
  <si>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</si>
  <si>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</si>
  <si>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</si>
  <si>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</si>
  <si>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</si>
  <si>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</si>
  <si>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</si>
  <si>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</si>
  <si>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</si>
  <si>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</si>
  <si>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</si>
  <si>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</si>
  <si>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</si>
  <si>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</si>
  <si>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</si>
  <si>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</si>
  <si>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</si>
  <si>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</si>
  <si>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</si>
  <si>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</si>
  <si>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</si>
  <si>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</si>
  <si>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</si>
  <si>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</si>
  <si>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</si>
  <si>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</si>
  <si>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</si>
  <si>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</si>
  <si>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</si>
  <si>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</si>
  <si>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</si>
  <si>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</si>
  <si>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</si>
  <si>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</si>
  <si>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</si>
  <si>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</si>
  <si>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</si>
  <si>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</si>
  <si>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</si>
  <si>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</si>
  <si>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</si>
  <si>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</si>
  <si>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</si>
  <si>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</si>
  <si>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</si>
  <si>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</si>
  <si>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</si>
  <si>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</si>
  <si>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</si>
  <si>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</si>
  <si>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</si>
  <si>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</si>
  <si>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</si>
  <si>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</si>
  <si>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</si>
  <si>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</si>
  <si>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</si>
  <si>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</si>
  <si>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</si>
  <si>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</si>
  <si>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</si>
  <si>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</si>
  <si>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</si>
  <si>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</si>
  <si>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</si>
  <si>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</si>
  <si>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</si>
  <si>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</si>
  <si>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</si>
  <si>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</si>
  <si>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</si>
  <si>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</si>
  <si>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</si>
  <si>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</si>
  <si>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</si>
  <si>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</si>
  <si>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</si>
  <si>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</si>
  <si>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</si>
  <si>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</si>
  <si>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</si>
  <si>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</si>
  <si>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</si>
  <si>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</si>
  <si>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</si>
  <si>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t>FANGST UKE 8</t>
  </si>
  <si>
    <t>FANGST T.O.M UKE 8</t>
  </si>
  <si>
    <t>RESTKVOTER UKE 8</t>
  </si>
  <si>
    <t>FANGST T.O.M UKE 8 2022</t>
  </si>
  <si>
    <r>
      <t>3</t>
    </r>
    <r>
      <rPr>
        <sz val="9"/>
        <color indexed="8"/>
        <rFont val="Calibri"/>
        <family val="2"/>
      </rPr>
      <t xml:space="preserve"> Det er fisket 253 tonn sei med konvensjonelle redskap som belastes notkvoten.</t>
    </r>
  </si>
  <si>
    <r>
      <t xml:space="preserve">3 </t>
    </r>
    <r>
      <rPr>
        <sz val="9"/>
        <color indexed="8"/>
        <rFont val="Calibri"/>
        <family val="2"/>
      </rPr>
      <t>Registrert rekreasjonsfiske utgjør 91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</si>
  <si>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</si>
  <si>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46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</si>
</sst>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="85" zoomScaleNormal="85" zoomScaleSheetLayoutView="100" zoomScalePageLayoutView="85" workbookViewId="0">
      <selection activeCell="F10" sqref="F10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137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77193</v>
      </c>
      <c r="G12" s="117" t="s">
        <v>5</v>
      </c>
      <c r="H12" s="116">
        <v>21013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164035</v>
      </c>
      <c r="G13" s="117" t="s">
        <v>8</v>
      </c>
      <c r="H13" s="119">
        <v>117222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14760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260782</v>
      </c>
      <c r="G16" s="180" t="s">
        <v>7</v>
      </c>
      <c r="H16" s="192">
        <f>SUM(H12:H15)</f>
        <v>164035</v>
      </c>
      <c r="J16" s="242"/>
    </row>
    <row r="17" spans="1:10" ht="15" customHeight="1" x14ac:dyDescent="0.25">
      <c r="A17" s="101"/>
      <c r="B17" s="24"/>
      <c r="C17" s="101"/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138</v>
      </c>
      <c r="G22" s="68" t="s">
        <v>139</v>
      </c>
      <c r="H22" s="68" t="s">
        <v>140</v>
      </c>
      <c r="I22" s="68" t="s">
        <v>141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77193</v>
      </c>
      <c r="E23" s="28">
        <f t="shared" ref="E23:I23" si="0">E25+E24</f>
        <v>84053</v>
      </c>
      <c r="F23" s="28">
        <f t="shared" si="0"/>
        <v>2938.3650000000002</v>
      </c>
      <c r="G23" s="28">
        <f t="shared" si="0"/>
        <v>17013.087800000001</v>
      </c>
      <c r="H23" s="11">
        <f t="shared" si="0"/>
        <v>67039.912199999992</v>
      </c>
      <c r="I23" s="11">
        <f t="shared" si="0"/>
        <v>25717.632840000002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76443</v>
      </c>
      <c r="E24" s="48">
        <v>83271</v>
      </c>
      <c r="F24" s="23">
        <f>2938.0635</f>
        <v>2938.0635000000002</v>
      </c>
      <c r="G24" s="23">
        <f>16962.0923</f>
        <v>16962.0923</v>
      </c>
      <c r="H24" s="23">
        <f>E24-G24</f>
        <v>66308.907699999996</v>
      </c>
      <c r="I24" s="23">
        <f>25669.30456</f>
        <v>25669.30456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0.3015</f>
        <v>0.30149999999999999</v>
      </c>
      <c r="G25" s="23">
        <f>50.9955</f>
        <v>50.9955</v>
      </c>
      <c r="H25" s="23">
        <f>E25-G25</f>
        <v>731.00450000000001</v>
      </c>
      <c r="I25" s="23">
        <f>48.32828</f>
        <v>48.328279999999999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169338</v>
      </c>
      <c r="E26" s="28">
        <f t="shared" ref="E26:I26" si="1">E34+E33+E27</f>
        <v>191675</v>
      </c>
      <c r="F26" s="28">
        <f t="shared" si="1"/>
        <v>9384.699779999999</v>
      </c>
      <c r="G26" s="11">
        <f t="shared" si="1"/>
        <v>38699.956700000002</v>
      </c>
      <c r="H26" s="11">
        <f t="shared" si="1"/>
        <v>152975.04330000002</v>
      </c>
      <c r="I26" s="11">
        <f t="shared" si="1"/>
        <v>54288.348360000004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132365</v>
      </c>
      <c r="E27" s="60">
        <f t="shared" ref="E27:I27" si="2">E28+E29+E30+E31+E32</f>
        <v>148041</v>
      </c>
      <c r="F27" s="134">
        <f>F28+F29+F30+F31+F32</f>
        <v>8446.4389699999992</v>
      </c>
      <c r="G27" s="134">
        <f t="shared" si="2"/>
        <v>30227.74611</v>
      </c>
      <c r="H27" s="134">
        <f t="shared" si="2"/>
        <v>117813.25389000001</v>
      </c>
      <c r="I27" s="134">
        <f t="shared" si="2"/>
        <v>45277.753370000006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31737</v>
      </c>
      <c r="E28" s="65">
        <v>38361</v>
      </c>
      <c r="F28" s="205">
        <f>1880.74008</f>
        <v>1880.74008</v>
      </c>
      <c r="G28" s="129">
        <f>6554.22695 - F57</f>
        <v>6554.2269500000002</v>
      </c>
      <c r="H28" s="129">
        <f t="shared" ref="H28:H40" si="3">E28-G28</f>
        <v>31806.77305</v>
      </c>
      <c r="I28" s="129">
        <f>9775.70917 - H57</f>
        <v>9775.7091700000001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35412</v>
      </c>
      <c r="E29" s="65">
        <v>39519</v>
      </c>
      <c r="F29" s="129">
        <f>2263.30782</f>
        <v>2263.30782</v>
      </c>
      <c r="G29" s="129">
        <f>9507.21468 - F58</f>
        <v>9507.2146799999991</v>
      </c>
      <c r="H29" s="129">
        <f t="shared" si="3"/>
        <v>30011.785320000003</v>
      </c>
      <c r="I29" s="129">
        <f>15776.74579 - H58</f>
        <v>15776.745790000001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32013</v>
      </c>
      <c r="E30" s="65">
        <v>36008</v>
      </c>
      <c r="F30" s="129">
        <f>2314.74203</f>
        <v>2314.7420299999999</v>
      </c>
      <c r="G30" s="129">
        <f>7280.44844 - F59</f>
        <v>7280.4484400000001</v>
      </c>
      <c r="H30" s="129">
        <f t="shared" si="3"/>
        <v>28727.55156</v>
      </c>
      <c r="I30" s="129">
        <f>11453.20238 - H59</f>
        <v>11453.202380000001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23363</v>
      </c>
      <c r="E31" s="65">
        <v>24489</v>
      </c>
      <c r="F31" s="129">
        <f>1987.64904</f>
        <v>1987.64904</v>
      </c>
      <c r="G31" s="129">
        <f>6885.85604 - F60</f>
        <v>6885.8560399999997</v>
      </c>
      <c r="H31" s="129">
        <f t="shared" si="3"/>
        <v>17603.143960000001</v>
      </c>
      <c r="I31" s="129">
        <f>8272.09603 - H60</f>
        <v>8272.0960300000006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21013</v>
      </c>
      <c r="E33" s="60">
        <v>22831</v>
      </c>
      <c r="F33" s="134">
        <f>52.80209</f>
        <v>52.80209</v>
      </c>
      <c r="G33" s="134">
        <f>5695.50068</f>
        <v>5695.5006800000001</v>
      </c>
      <c r="H33" s="134">
        <f t="shared" si="3"/>
        <v>17135.499319999999</v>
      </c>
      <c r="I33" s="134">
        <f>6345.95641</f>
        <v>6345.9564099999998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15960</v>
      </c>
      <c r="E34" s="60">
        <f>E35+E36</f>
        <v>20803</v>
      </c>
      <c r="F34" s="134">
        <f>F35+F36</f>
        <v>885.45871999999997</v>
      </c>
      <c r="G34" s="134">
        <f>G35+G36</f>
        <v>2776.70991</v>
      </c>
      <c r="H34" s="134">
        <f t="shared" si="3"/>
        <v>18026.290089999999</v>
      </c>
      <c r="I34" s="134">
        <f>I35+I36</f>
        <v>2664.6385799999998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14760</v>
      </c>
      <c r="E35" s="65">
        <v>19603</v>
      </c>
      <c r="F35" s="129">
        <f>885.45872</f>
        <v>885.45871999999997</v>
      </c>
      <c r="G35" s="134">
        <f>2776.70991 - F61 - F62</f>
        <v>2776.70991</v>
      </c>
      <c r="H35" s="129">
        <f t="shared" si="3"/>
        <v>16826.290089999999</v>
      </c>
      <c r="I35" s="129">
        <f>2664.63858 - H61 - H62</f>
        <v>2664.6385799999998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0</f>
        <v>0</v>
      </c>
      <c r="H37" s="141">
        <f t="shared" si="3"/>
        <v>3000</v>
      </c>
      <c r="I37" s="141">
        <f>0</f>
        <v>0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12.8275</f>
        <v>12.827500000000001</v>
      </c>
      <c r="G38" s="100">
        <f>60.32933</f>
        <v>60.329329999999999</v>
      </c>
      <c r="H38" s="100">
        <f t="shared" si="3"/>
        <v>790.67066999999997</v>
      </c>
      <c r="I38" s="100">
        <f>57.0097</f>
        <v>57.009700000000002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0</v>
      </c>
      <c r="G39" s="100">
        <f>F61</f>
        <v>0</v>
      </c>
      <c r="H39" s="100">
        <f t="shared" si="3"/>
        <v>3048</v>
      </c>
      <c r="I39" s="100">
        <f>H61</f>
        <v>0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27.10024</f>
        <v>27.100239999999999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260782</v>
      </c>
      <c r="E44" s="78">
        <f t="shared" si="4"/>
        <v>290027</v>
      </c>
      <c r="F44" s="78">
        <f t="shared" si="4"/>
        <v>12362.995519999999</v>
      </c>
      <c r="G44" s="78">
        <f t="shared" si="4"/>
        <v>62852.934830000035</v>
      </c>
      <c r="H44" s="78">
        <f t="shared" si="4"/>
        <v>227174.06516999999</v>
      </c>
      <c r="I44" s="78">
        <f t="shared" si="4"/>
        <v>87183.929329999984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143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138</v>
      </c>
      <c r="F54" s="68" t="s">
        <v>139</v>
      </c>
      <c r="G54" s="68" t="s">
        <v>140</v>
      </c>
      <c r="H54" s="68" t="s">
        <v>141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/>
      <c r="F60" s="97"/>
      <c r="G60" s="97">
        <f>D60-F60</f>
        <v>1200</v>
      </c>
      <c r="H60" s="97"/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/>
      <c r="F61" s="141"/>
      <c r="G61" s="141">
        <f>D61-F61</f>
        <v>3000</v>
      </c>
      <c r="H61" s="141"/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31131</v>
      </c>
      <c r="G82" s="193" t="s">
        <v>5</v>
      </c>
      <c r="H82" s="116">
        <v>9143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50792</v>
      </c>
      <c r="G83" s="193" t="s">
        <v>8</v>
      </c>
      <c r="H83" s="119">
        <v>37586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4063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84177</v>
      </c>
      <c r="G85" s="180" t="s">
        <v>7</v>
      </c>
      <c r="H85" s="192">
        <f>SUM(H82:H84)</f>
        <v>50792</v>
      </c>
      <c r="I85" s="181"/>
      <c r="J85" s="242"/>
    </row>
    <row r="86" spans="1:10" ht="14.25" customHeight="1" x14ac:dyDescent="0.25">
      <c r="A86" s="1"/>
      <c r="B86" s="252"/>
      <c r="C86" s="101"/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138</v>
      </c>
      <c r="G91" s="15" t="s">
        <v>139</v>
      </c>
      <c r="H91" s="15" t="s">
        <v>140</v>
      </c>
      <c r="I91" s="15" t="s">
        <v>141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33472</v>
      </c>
      <c r="E92" s="28">
        <v>36235</v>
      </c>
      <c r="F92" s="11">
        <f t="shared" ref="F92:I92" si="5">F94+F93</f>
        <v>625.03420000000006</v>
      </c>
      <c r="G92" s="11">
        <f t="shared" si="5"/>
        <v>2596.31052</v>
      </c>
      <c r="H92" s="11">
        <f t="shared" si="5"/>
        <v>33638.689480000001</v>
      </c>
      <c r="I92" s="11">
        <f t="shared" si="5"/>
        <v>6707.9785099999999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32722</v>
      </c>
      <c r="E93" s="48">
        <v>35423</v>
      </c>
      <c r="F93" s="23">
        <f>614.215</f>
        <v>614.21500000000003</v>
      </c>
      <c r="G93" s="23">
        <f>2561.99372</f>
        <v>2561.9937199999999</v>
      </c>
      <c r="H93" s="23">
        <f>E93-G93</f>
        <v>32861.006280000001</v>
      </c>
      <c r="I93" s="23">
        <f>6664.50382</f>
        <v>6664.5038199999999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10.8192</f>
        <v>10.8192</v>
      </c>
      <c r="G94" s="52">
        <f>34.3168</f>
        <v>34.316800000000001</v>
      </c>
      <c r="H94" s="52">
        <f>E94-G94</f>
        <v>777.68319999999994</v>
      </c>
      <c r="I94" s="52">
        <f>43.47469</f>
        <v>43.474690000000002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v>56489</v>
      </c>
      <c r="E95" s="28">
        <f t="shared" ref="E95:I95" si="6">E96+E101+E102</f>
        <v>62139</v>
      </c>
      <c r="F95" s="11">
        <f t="shared" si="6"/>
        <v>630.96428000000003</v>
      </c>
      <c r="G95" s="11">
        <f t="shared" si="6"/>
        <v>5615.4658799999997</v>
      </c>
      <c r="H95" s="11">
        <f t="shared" si="6"/>
        <v>56523.534119999997</v>
      </c>
      <c r="I95" s="11">
        <f t="shared" si="6"/>
        <v>7362.9766</v>
      </c>
      <c r="J95" s="242"/>
    </row>
    <row r="96" spans="1:10" ht="14.1" customHeight="1" x14ac:dyDescent="0.25">
      <c r="A96" s="1"/>
      <c r="B96" s="55"/>
      <c r="C96" s="59" t="s">
        <v>23</v>
      </c>
      <c r="D96" s="60">
        <v>42290</v>
      </c>
      <c r="E96" s="60">
        <f t="shared" ref="E96:I96" si="7">E97+E98+E99+E100</f>
        <v>46520</v>
      </c>
      <c r="F96" s="134">
        <f t="shared" si="7"/>
        <v>529.39982999999995</v>
      </c>
      <c r="G96" s="134">
        <f t="shared" si="7"/>
        <v>3300.5460900000003</v>
      </c>
      <c r="H96" s="134">
        <f t="shared" si="7"/>
        <v>43219.453909999997</v>
      </c>
      <c r="I96" s="134">
        <f t="shared" si="7"/>
        <v>4805.6826499999997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11327</v>
      </c>
      <c r="E97" s="65">
        <v>12460</v>
      </c>
      <c r="F97" s="129">
        <f>155.7247</f>
        <v>155.72470000000001</v>
      </c>
      <c r="G97" s="129">
        <f>988.61475</f>
        <v>988.61474999999996</v>
      </c>
      <c r="H97" s="129">
        <f t="shared" ref="H97:H104" si="8">E97-G97</f>
        <v>11471.385249999999</v>
      </c>
      <c r="I97" s="129">
        <f>1123.87705</f>
        <v>1123.8770500000001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12171</v>
      </c>
      <c r="E98" s="65">
        <v>13388</v>
      </c>
      <c r="F98" s="129">
        <f>154.07088</f>
        <v>154.07087999999999</v>
      </c>
      <c r="G98" s="129">
        <f>1213.194</f>
        <v>1213.194</v>
      </c>
      <c r="H98" s="129">
        <f t="shared" si="8"/>
        <v>12174.806</v>
      </c>
      <c r="I98" s="129">
        <f>1965.31481</f>
        <v>1965.3148100000001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11356</v>
      </c>
      <c r="E99" s="65">
        <v>12492</v>
      </c>
      <c r="F99" s="129">
        <f>135.92131</f>
        <v>135.92131000000001</v>
      </c>
      <c r="G99" s="129">
        <f>700.10853</f>
        <v>700.10852999999997</v>
      </c>
      <c r="H99" s="129">
        <f t="shared" si="8"/>
        <v>11791.89147</v>
      </c>
      <c r="I99" s="129">
        <f>1169.16293</f>
        <v>1169.16293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7436</v>
      </c>
      <c r="E100" s="65">
        <v>8180</v>
      </c>
      <c r="F100" s="129">
        <f>83.68294</f>
        <v>83.682940000000002</v>
      </c>
      <c r="G100" s="129">
        <f>398.62881</f>
        <v>398.62880999999999</v>
      </c>
      <c r="H100" s="129">
        <f t="shared" si="8"/>
        <v>7781.3711899999998</v>
      </c>
      <c r="I100" s="129">
        <f>547.32786</f>
        <v>547.32785999999999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9830</v>
      </c>
      <c r="E101" s="60">
        <v>10813</v>
      </c>
      <c r="F101" s="134">
        <f>6.32991</f>
        <v>6.3299099999999999</v>
      </c>
      <c r="G101" s="134">
        <f>1777.62507</f>
        <v>1777.6250700000001</v>
      </c>
      <c r="H101" s="134">
        <f t="shared" si="8"/>
        <v>9035.3749299999999</v>
      </c>
      <c r="I101" s="134">
        <f>2238.8574</f>
        <v>2238.8573999999999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4369</v>
      </c>
      <c r="E102" s="63">
        <v>4806</v>
      </c>
      <c r="F102" s="77">
        <f>95.23454</f>
        <v>95.234539999999996</v>
      </c>
      <c r="G102" s="77">
        <f>537.29472</f>
        <v>537.29471999999998</v>
      </c>
      <c r="H102" s="77">
        <f t="shared" si="8"/>
        <v>4268.7052800000001</v>
      </c>
      <c r="I102" s="77">
        <f>318.43655</f>
        <v>318.43655000000001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390</v>
      </c>
      <c r="E103" s="92">
        <v>390</v>
      </c>
      <c r="F103" s="100">
        <f>0.02822</f>
        <v>2.8219999999999999E-2</v>
      </c>
      <c r="G103" s="100">
        <f>0.29753</f>
        <v>0.29753000000000002</v>
      </c>
      <c r="H103" s="100">
        <f t="shared" si="8"/>
        <v>389.70247000000001</v>
      </c>
      <c r="I103" s="100">
        <f>7.11385</f>
        <v>7.1138500000000002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1.2968</f>
        <v>1.2968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90701</v>
      </c>
      <c r="E107" s="78">
        <f t="shared" ref="E107:I107" si="9">E92+E95+E103+E104+E105+E106</f>
        <v>99114</v>
      </c>
      <c r="F107" s="78">
        <f t="shared" si="9"/>
        <v>1257.3235000000002</v>
      </c>
      <c r="G107" s="78">
        <f t="shared" si="9"/>
        <v>8520.8417299999855</v>
      </c>
      <c r="H107" s="78">
        <f t="shared" si="9"/>
        <v>90593.158270000014</v>
      </c>
      <c r="I107" s="78">
        <f t="shared" si="9"/>
        <v>14421.803739999998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144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138</v>
      </c>
      <c r="G127" s="15" t="s">
        <v>139</v>
      </c>
      <c r="H127" s="15" t="s">
        <v>140</v>
      </c>
      <c r="I127" s="15" t="s">
        <v>141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1677.7314000000001</v>
      </c>
      <c r="G128" s="11">
        <f t="shared" si="10"/>
        <v>16510.239819999999</v>
      </c>
      <c r="H128" s="11">
        <f t="shared" si="10"/>
        <v>54030.760180000005</v>
      </c>
      <c r="I128" s="11">
        <f t="shared" si="10"/>
        <v>13637.528740000002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1217.1222</f>
        <v>1217.1222</v>
      </c>
      <c r="G129" s="23">
        <f>14592.83347</f>
        <v>14592.83347</v>
      </c>
      <c r="H129" s="23">
        <f>E129-G129</f>
        <v>41499.166530000002</v>
      </c>
      <c r="I129" s="23">
        <f>10632.74111</f>
        <v>10632.741110000001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460.6092</f>
        <v>460.60919999999999</v>
      </c>
      <c r="G130" s="23">
        <f>1917.40635</f>
        <v>1917.40635</v>
      </c>
      <c r="H130" s="23">
        <f>E130-G130</f>
        <v>12031.593650000001</v>
      </c>
      <c r="I130" s="23">
        <f>3004.78763</f>
        <v>3004.7876299999998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0.294</f>
        <v>0.29399999999999998</v>
      </c>
      <c r="G132" s="97">
        <f>10.87395+253.17883</f>
        <v>264.05277999999998</v>
      </c>
      <c r="H132" s="97">
        <f>E132-G132</f>
        <v>48907.947220000002</v>
      </c>
      <c r="I132" s="97">
        <f>37.637</f>
        <v>37.637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2411.4344500000002</v>
      </c>
      <c r="G133" s="96">
        <f t="shared" ref="G133" si="11">G134+G139+G142</f>
        <v>21705.182950000002</v>
      </c>
      <c r="H133" s="96">
        <f>H134+H139+H142</f>
        <v>59234.817049999998</v>
      </c>
      <c r="I133" s="96">
        <f>I134+I139+I142</f>
        <v>16897.211030000002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2093.5303400000003</v>
      </c>
      <c r="G134" s="127">
        <f>G135+G136+G138+G137</f>
        <v>19837.133610000001</v>
      </c>
      <c r="H134" s="127">
        <f>H135+H136+H137+H138</f>
        <v>39666.866389999996</v>
      </c>
      <c r="I134" s="127">
        <f>I135+I136+I137+I138</f>
        <v>15096.027480000001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286.40867</f>
        <v>286.40866999999997</v>
      </c>
      <c r="G135" s="129">
        <v>3372.59366</v>
      </c>
      <c r="H135" s="129">
        <f>E135-G135</f>
        <v>14131.40634</v>
      </c>
      <c r="I135" s="129">
        <f>2334.40708</f>
        <v>2334.40708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793.26998</f>
        <v>793.26998000000003</v>
      </c>
      <c r="G136" s="129">
        <v>6195.6177799999996</v>
      </c>
      <c r="H136" s="129">
        <f>E136-G136</f>
        <v>8888.3822199999995</v>
      </c>
      <c r="I136" s="129">
        <f>5029.68774</f>
        <v>5029.6877400000003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488.49841</f>
        <v>488.49840999999998</v>
      </c>
      <c r="G137" s="129">
        <v>4715.1027899999999</v>
      </c>
      <c r="H137" s="129">
        <f>E137-G137</f>
        <v>10307.897209999999</v>
      </c>
      <c r="I137" s="129">
        <f>4122.11934</f>
        <v>4122.1193400000002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525.35328</f>
        <v>525.35328000000004</v>
      </c>
      <c r="G138" s="129">
        <v>5553.8193799999999</v>
      </c>
      <c r="H138" s="129">
        <f>E138-G138</f>
        <v>6339.1806200000001</v>
      </c>
      <c r="I138" s="129">
        <f>3609.81332</f>
        <v>3609.8133200000002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165.26320000000001</v>
      </c>
      <c r="G139" s="134">
        <f>SUM(G140:G141)</f>
        <v>766.62025999999992</v>
      </c>
      <c r="H139" s="134">
        <f>H140+H141</f>
        <v>8665.3797400000003</v>
      </c>
      <c r="I139" s="134">
        <f>SUM(I140:I141)</f>
        <v>927.98120000000006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154.1464</f>
        <v>154.1464</v>
      </c>
      <c r="G140" s="129">
        <f>734.70557</f>
        <v>734.70556999999997</v>
      </c>
      <c r="H140" s="129">
        <f t="shared" ref="H140:H147" si="12">E140-G140</f>
        <v>8197.2944299999999</v>
      </c>
      <c r="I140" s="129">
        <f>886.5842</f>
        <v>886.58420000000001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11.1168</f>
        <v>11.1168</v>
      </c>
      <c r="G141" s="129">
        <f>31.91469</f>
        <v>31.91469</v>
      </c>
      <c r="H141" s="129">
        <f t="shared" si="12"/>
        <v>468.08530999999999</v>
      </c>
      <c r="I141" s="129">
        <f>41.397</f>
        <v>41.396999999999998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152.64091</f>
        <v>152.64090999999999</v>
      </c>
      <c r="G142" s="77">
        <f>1101.42908</f>
        <v>1101.4290800000001</v>
      </c>
      <c r="H142" s="77">
        <f t="shared" si="12"/>
        <v>10902.57092</v>
      </c>
      <c r="I142" s="77">
        <f>873.20235</f>
        <v>873.20235000000002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0.3225</f>
        <v>0.32250000000000001</v>
      </c>
      <c r="G143" s="141">
        <f>1.63943</f>
        <v>1.6394299999999999</v>
      </c>
      <c r="H143" s="141">
        <f t="shared" si="12"/>
        <v>135.36057</v>
      </c>
      <c r="I143" s="141">
        <f>1.85162</f>
        <v>1.85162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0</f>
        <v>0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8.9769</f>
        <v>8.9769000000000005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4098.7592500000001</v>
      </c>
      <c r="G150" s="78">
        <f>G128+G132+G133+G143+G144+G145+G146+G147+G148</f>
        <v>40481.114980000006</v>
      </c>
      <c r="H150" s="78">
        <f>H128+H132+H133+H143+H144+H145+H146+H147+H148</f>
        <v>162753.88502000002</v>
      </c>
      <c r="I150" s="78">
        <f>I128+I132+I133+I143+I144+I145+I146+I147+I148</f>
        <v>32574.228390000004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142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145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138</v>
      </c>
      <c r="F174" s="15" t="s">
        <v>139</v>
      </c>
      <c r="G174" s="56" t="s">
        <v>140</v>
      </c>
      <c r="H174" s="15" t="s">
        <v>141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10.26597</f>
        <v>10.265969999999999</v>
      </c>
      <c r="F175" s="274">
        <f>215.06147</f>
        <v>215.06147000000001</v>
      </c>
      <c r="G175" s="45">
        <f>D175-F175-F176</f>
        <v>4651.0147800000004</v>
      </c>
      <c r="H175" s="274">
        <f>192.97937</f>
        <v>192.97936999999999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121.92375</f>
        <v>121.92375</v>
      </c>
      <c r="G176" s="215"/>
      <c r="H176" s="154">
        <f>148.04101</f>
        <v>148.04101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18.29706</f>
        <v>18.297059999999998</v>
      </c>
      <c r="G177" s="174">
        <f>D177-F177</f>
        <v>181.70294000000001</v>
      </c>
      <c r="H177" s="174">
        <f>5.28502</f>
        <v>5.2850200000000003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0.42293999999999998</v>
      </c>
      <c r="F178" s="183">
        <f>F179+F180+F181</f>
        <v>2.91092</v>
      </c>
      <c r="G178" s="183">
        <f>D178-F178</f>
        <v>7478.0890799999997</v>
      </c>
      <c r="H178" s="183">
        <f>H179+H180+H181</f>
        <v>9.1172400000000007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0.22028</f>
        <v>0.22028</v>
      </c>
      <c r="F179" s="129">
        <f>0.5242</f>
        <v>0.5242</v>
      </c>
      <c r="G179" s="129"/>
      <c r="H179" s="129">
        <f>0.43276</f>
        <v>0.43275999999999998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0.20266</f>
        <v>0.20266000000000001</v>
      </c>
      <c r="F180" s="129">
        <f>1.79508</f>
        <v>1.79508</v>
      </c>
      <c r="G180" s="129"/>
      <c r="H180" s="129">
        <f>7.10871</f>
        <v>7.1087100000000003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</f>
        <v>0</v>
      </c>
      <c r="F181" s="194">
        <f>0.59164</f>
        <v>0.59164000000000005</v>
      </c>
      <c r="G181" s="194"/>
      <c r="H181" s="194">
        <f>1.57577</f>
        <v>1.5757699999999999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10.68891</v>
      </c>
      <c r="F184" s="196">
        <f>F175+F176+F177+F178+F182+F183</f>
        <v>358.19319999999999</v>
      </c>
      <c r="G184" s="196">
        <f>D184-F184</f>
        <v>12376.8068</v>
      </c>
      <c r="H184" s="196">
        <f>H175+H176+H177+H178+H182+H183</f>
        <v>355.42263999999994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138</v>
      </c>
      <c r="F203" s="68" t="s">
        <v>139</v>
      </c>
      <c r="G203" s="68" t="s">
        <v>140</v>
      </c>
      <c r="H203" s="68" t="s">
        <v>141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118.13855</f>
        <v>118.13855</v>
      </c>
      <c r="F204" s="124">
        <f>4620.17</f>
        <v>4620.17</v>
      </c>
      <c r="G204" s="124">
        <f>D204-F204</f>
        <v>39218.83</v>
      </c>
      <c r="H204" s="124">
        <f>2226.98181</f>
        <v>2226.9818100000002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0.075</f>
        <v>7.4999999999999997E-2</v>
      </c>
      <c r="F205" s="124">
        <f>0.446</f>
        <v>0.44600000000000001</v>
      </c>
      <c r="G205" s="124">
        <f>D205-F205</f>
        <v>99.554000000000002</v>
      </c>
      <c r="H205" s="124">
        <f>1.0333</f>
        <v>1.0333000000000001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118.21355</v>
      </c>
      <c r="F207" s="190">
        <f>SUM(F204:F206)</f>
        <v>4620.616</v>
      </c>
      <c r="G207" s="190">
        <f>D207-F207</f>
        <v>39360.383999999998</v>
      </c>
      <c r="H207" s="190">
        <f>SUM(H204:H206)</f>
        <v>2228.0151100000003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138</v>
      </c>
      <c r="F257" s="68" t="s">
        <v>139</v>
      </c>
      <c r="G257" s="68" t="s">
        <v>140</v>
      </c>
      <c r="H257" s="68" t="s">
        <v>141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1.11159</f>
        <v>1.1115900000000001</v>
      </c>
      <c r="F258" s="124">
        <f>52.86827</f>
        <v>52.868270000000003</v>
      </c>
      <c r="G258" s="124">
        <f>D258-F258</f>
        <v>747.13172999999995</v>
      </c>
      <c r="H258" s="124">
        <f>29.30155</f>
        <v>29.301549999999999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3.98897</f>
        <v>3.9889700000000001</v>
      </c>
      <c r="F259" s="124">
        <f>258.88762</f>
        <v>258.88762000000003</v>
      </c>
      <c r="G259" s="124">
        <f>D259-F259</f>
        <v>2235.11238</v>
      </c>
      <c r="H259" s="124">
        <f>139.28183</f>
        <v>139.28183000000001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</f>
        <v>0</v>
      </c>
      <c r="F260" s="168">
        <f>0.09004</f>
        <v>9.0039999999999995E-2</v>
      </c>
      <c r="G260" s="124">
        <f>D260-F260</f>
        <v>4.9099599999999999</v>
      </c>
      <c r="H260" s="168">
        <f>0.243</f>
        <v>0.24299999999999999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0.07</f>
        <v>7.0000000000000007E-2</v>
      </c>
      <c r="F261" s="168">
        <f>0.07</f>
        <v>7.0000000000000007E-2</v>
      </c>
      <c r="G261" s="124"/>
      <c r="H261" s="168">
        <f>0.15856</f>
        <v>0.15856000000000001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5.17056</v>
      </c>
      <c r="F262" s="190">
        <f>SUM(F258:F261)</f>
        <v>311.91593</v>
      </c>
      <c r="G262" s="190">
        <f>D262-F262</f>
        <v>2987.0840699999999</v>
      </c>
      <c r="H262" s="190">
        <f>H258+H259+H260+H261</f>
        <v>168.98493999999999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138</v>
      </c>
      <c r="G287" s="221" t="s">
        <v>139</v>
      </c>
      <c r="H287" s="221" t="s">
        <v>140</v>
      </c>
      <c r="I287" s="221" t="s">
        <v>141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4.2169400000000001</v>
      </c>
      <c r="G288" s="251">
        <f t="shared" si="14"/>
        <v>1175.38942</v>
      </c>
      <c r="H288" s="251">
        <f>H292+H291+H290+H289</f>
        <v>14926.61058</v>
      </c>
      <c r="I288" s="251">
        <f t="shared" si="14"/>
        <v>540.93373999999994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0</f>
        <v>0</v>
      </c>
      <c r="G289" s="255">
        <f>884.0745</f>
        <v>884.07449999999994</v>
      </c>
      <c r="H289" s="255">
        <f t="shared" ref="H289:H293" si="15">E289-G289</f>
        <v>7292.9255000000003</v>
      </c>
      <c r="I289" s="255">
        <f>112.0851</f>
        <v>112.0851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0</f>
        <v>0</v>
      </c>
      <c r="H290" s="255">
        <f t="shared" si="15"/>
        <v>2128</v>
      </c>
      <c r="I290" s="255">
        <f>280.6002</f>
        <v>280.60019999999997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4.21694</f>
        <v>4.2169400000000001</v>
      </c>
      <c r="G291" s="255">
        <f>273.05912</f>
        <v>273.05912000000001</v>
      </c>
      <c r="H291" s="255">
        <f t="shared" si="15"/>
        <v>1083.9408800000001</v>
      </c>
      <c r="I291" s="255">
        <f>144.71724</f>
        <v>144.71724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0</f>
        <v>0</v>
      </c>
      <c r="G292" s="255">
        <f>18.2558</f>
        <v>18.255800000000001</v>
      </c>
      <c r="H292" s="255">
        <f t="shared" si="15"/>
        <v>4421.7442000000001</v>
      </c>
      <c r="I292" s="255">
        <f>3.5312</f>
        <v>3.5312000000000001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0.1</f>
        <v>0.1</v>
      </c>
      <c r="G293" s="266">
        <f>18.501</f>
        <v>18.501000000000001</v>
      </c>
      <c r="H293" s="266">
        <f t="shared" si="15"/>
        <v>5481.4989999999998</v>
      </c>
      <c r="I293" s="266">
        <f>107.83502</f>
        <v>107.83502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219.68343000000002</v>
      </c>
      <c r="G294" s="267">
        <f>G296+G295</f>
        <v>918.82748000000004</v>
      </c>
      <c r="H294" s="267">
        <f>E294-G294</f>
        <v>7081.1725200000001</v>
      </c>
      <c r="I294" s="267">
        <f>I296+I295</f>
        <v>1141.3948600000001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211.6827</f>
        <v>211.68270000000001</v>
      </c>
      <c r="G295" s="255">
        <f>426.4893</f>
        <v>426.48930000000001</v>
      </c>
      <c r="H295" s="255"/>
      <c r="I295" s="255">
        <f>644.65231</f>
        <v>644.65231000000006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8.00073</f>
        <v>8.0007300000000008</v>
      </c>
      <c r="G296" s="276">
        <f>492.33818</f>
        <v>492.33818000000002</v>
      </c>
      <c r="H296" s="276"/>
      <c r="I296" s="276">
        <f>496.74255</f>
        <v>496.74254999999999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0.0567</f>
        <v>5.67E-2</v>
      </c>
      <c r="H297" s="266">
        <f>E297-G297</f>
        <v>9.9433000000000007</v>
      </c>
      <c r="I297" s="266">
        <f>0.0918</f>
        <v>9.1800000000000007E-2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0.1272</f>
        <v>0.12720000000000001</v>
      </c>
      <c r="G298" s="266">
        <f>1.15768</f>
        <v>1.15768</v>
      </c>
      <c r="H298" s="266">
        <f>E298-G298</f>
        <v>-1.15768</v>
      </c>
      <c r="I298" s="266">
        <f>11.98901</f>
        <v>11.98901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224.12756999999999</v>
      </c>
      <c r="G299" s="285">
        <f t="shared" si="16"/>
        <v>2113.93228</v>
      </c>
      <c r="H299" s="285">
        <f>H288+H293+H294+H297+H298</f>
        <v>27498.067719999999</v>
      </c>
      <c r="I299" s="285">
        <f t="shared" si="16"/>
        <v>1802.24443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138</v>
      </c>
      <c r="F320" s="20" t="s">
        <v>139</v>
      </c>
      <c r="G320" s="25" t="s">
        <v>140</v>
      </c>
      <c r="H320" s="20" t="s">
        <v>141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116.73849999999999</v>
      </c>
      <c r="F321" s="26">
        <f>F323+F322</f>
        <v>1159.1175499999999</v>
      </c>
      <c r="G321" s="87">
        <f>D321-F321</f>
        <v>1081.8824500000001</v>
      </c>
      <c r="H321" s="26">
        <f>SUM(H322:H323)</f>
        <v>690.05405000000007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94.1385</f>
        <v>94.138499999999993</v>
      </c>
      <c r="F322" s="207">
        <f>976.54395</f>
        <v>976.54395</v>
      </c>
      <c r="G322" s="208"/>
      <c r="H322" s="207">
        <f>580.68875</f>
        <v>580.68875000000003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22.6</f>
        <v>22.6</v>
      </c>
      <c r="F323" s="210">
        <f>182.5736</f>
        <v>182.5736</v>
      </c>
      <c r="G323" s="211"/>
      <c r="H323" s="210">
        <f>109.3653</f>
        <v>109.3653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0</v>
      </c>
      <c r="F324" s="26">
        <f>SUM(F325:F326)</f>
        <v>0</v>
      </c>
      <c r="G324" s="87">
        <f>D324-F324</f>
        <v>1120</v>
      </c>
      <c r="H324" s="26">
        <f>SUM(H325:H326)</f>
        <v>0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0</f>
        <v>0</v>
      </c>
      <c r="F325" s="30">
        <f>0</f>
        <v>0</v>
      </c>
      <c r="G325" s="99"/>
      <c r="H325" s="30">
        <f>0</f>
        <v>0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0</f>
        <v>0</v>
      </c>
      <c r="F326" s="30">
        <f>0</f>
        <v>0</v>
      </c>
      <c r="G326" s="110"/>
      <c r="H326" s="30">
        <f>0</f>
        <v>0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116.73849999999999</v>
      </c>
      <c r="F331" s="42">
        <f>F321+F324+F327+F330</f>
        <v>1159.1175499999999</v>
      </c>
      <c r="G331" s="43">
        <f>SUM(G321:G330)</f>
        <v>2201.8824500000001</v>
      </c>
      <c r="H331" s="42">
        <f>H321+H324+H327+H330</f>
        <v>690.05405000000007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8&amp;R27.02.2023</oddHeader>
    <oddFooter>&amp;L&amp;8Fiskeridirektoratet&amp;C&amp;8Reguleringsseksjonen&amp;R&amp;8Amund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2023-02-27T09:17:16Z</dcterms:modified>
</cp:coreProperties>
</file>