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Seksjon for fiskeriregulering - NY MAPPE\ameik\Ukesstatistikk\Script\excel\output\2022\"/>
    </mc:Choice>
  </mc:AlternateContent>
  <xr:revisionPtr revIDLastSave="0" documentId="13_ncr:1_{6275BF69-8D47-4867-A928-FC072103F2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4" i="1" l="1"/>
  <c r="H134" i="1" s="1"/>
  <c r="D333" i="1"/>
  <c r="H331" i="1"/>
  <c r="F331" i="1"/>
  <c r="E331" i="1"/>
  <c r="H330" i="1"/>
  <c r="H329" i="1" s="1"/>
  <c r="F330" i="1"/>
  <c r="F329" i="1" s="1"/>
  <c r="G329" i="1" s="1"/>
  <c r="E330" i="1"/>
  <c r="E329" i="1" s="1"/>
  <c r="H328" i="1"/>
  <c r="F328" i="1"/>
  <c r="E328" i="1"/>
  <c r="E326" i="1" s="1"/>
  <c r="H327" i="1"/>
  <c r="F327" i="1"/>
  <c r="F326" i="1" s="1"/>
  <c r="G326" i="1" s="1"/>
  <c r="E327" i="1"/>
  <c r="H326" i="1"/>
  <c r="H325" i="1"/>
  <c r="H323" i="1" s="1"/>
  <c r="F325" i="1"/>
  <c r="E325" i="1"/>
  <c r="E323" i="1" s="1"/>
  <c r="H324" i="1"/>
  <c r="F324" i="1"/>
  <c r="E324" i="1"/>
  <c r="F323" i="1"/>
  <c r="G323" i="1" s="1"/>
  <c r="E301" i="1"/>
  <c r="D301" i="1"/>
  <c r="I300" i="1"/>
  <c r="G300" i="1"/>
  <c r="H300" i="1" s="1"/>
  <c r="F300" i="1"/>
  <c r="I299" i="1"/>
  <c r="G299" i="1"/>
  <c r="H299" i="1" s="1"/>
  <c r="F299" i="1"/>
  <c r="I298" i="1"/>
  <c r="I296" i="1" s="1"/>
  <c r="G298" i="1"/>
  <c r="F298" i="1"/>
  <c r="F296" i="1" s="1"/>
  <c r="I297" i="1"/>
  <c r="G297" i="1"/>
  <c r="F297" i="1"/>
  <c r="G296" i="1"/>
  <c r="H296" i="1" s="1"/>
  <c r="I295" i="1"/>
  <c r="G295" i="1"/>
  <c r="H295" i="1" s="1"/>
  <c r="F295" i="1"/>
  <c r="I294" i="1"/>
  <c r="G294" i="1"/>
  <c r="H294" i="1" s="1"/>
  <c r="F294" i="1"/>
  <c r="I293" i="1"/>
  <c r="G293" i="1"/>
  <c r="H293" i="1" s="1"/>
  <c r="F293" i="1"/>
  <c r="F290" i="1" s="1"/>
  <c r="I292" i="1"/>
  <c r="G292" i="1"/>
  <c r="H292" i="1" s="1"/>
  <c r="F292" i="1"/>
  <c r="I291" i="1"/>
  <c r="G291" i="1"/>
  <c r="H291" i="1" s="1"/>
  <c r="F291" i="1"/>
  <c r="I290" i="1"/>
  <c r="E290" i="1"/>
  <c r="D290" i="1"/>
  <c r="H282" i="1"/>
  <c r="F282" i="1"/>
  <c r="F264" i="1"/>
  <c r="D264" i="1"/>
  <c r="G264" i="1" s="1"/>
  <c r="H263" i="1"/>
  <c r="F263" i="1"/>
  <c r="E263" i="1"/>
  <c r="H262" i="1"/>
  <c r="H264" i="1" s="1"/>
  <c r="F262" i="1"/>
  <c r="G262" i="1" s="1"/>
  <c r="E262" i="1"/>
  <c r="H261" i="1"/>
  <c r="F261" i="1"/>
  <c r="E261" i="1"/>
  <c r="H260" i="1"/>
  <c r="G260" i="1"/>
  <c r="F260" i="1"/>
  <c r="E260" i="1"/>
  <c r="E264" i="1" s="1"/>
  <c r="D253" i="1"/>
  <c r="D209" i="1"/>
  <c r="G209" i="1" s="1"/>
  <c r="G208" i="1"/>
  <c r="H207" i="1"/>
  <c r="H209" i="1" s="1"/>
  <c r="F207" i="1"/>
  <c r="G207" i="1" s="1"/>
  <c r="E207" i="1"/>
  <c r="H206" i="1"/>
  <c r="F206" i="1"/>
  <c r="F209" i="1" s="1"/>
  <c r="E206" i="1"/>
  <c r="E209" i="1" s="1"/>
  <c r="H186" i="1"/>
  <c r="D186" i="1"/>
  <c r="H184" i="1"/>
  <c r="G184" i="1"/>
  <c r="F184" i="1"/>
  <c r="E184" i="1"/>
  <c r="H183" i="1"/>
  <c r="F183" i="1"/>
  <c r="E183" i="1"/>
  <c r="H182" i="1"/>
  <c r="F182" i="1"/>
  <c r="E182" i="1"/>
  <c r="E180" i="1" s="1"/>
  <c r="H181" i="1"/>
  <c r="F181" i="1"/>
  <c r="F180" i="1" s="1"/>
  <c r="G180" i="1" s="1"/>
  <c r="E181" i="1"/>
  <c r="H180" i="1"/>
  <c r="H179" i="1"/>
  <c r="F179" i="1"/>
  <c r="G179" i="1" s="1"/>
  <c r="E179" i="1"/>
  <c r="H178" i="1"/>
  <c r="F178" i="1"/>
  <c r="E178" i="1"/>
  <c r="H177" i="1"/>
  <c r="G177" i="1"/>
  <c r="F177" i="1"/>
  <c r="F186" i="1" s="1"/>
  <c r="G186" i="1" s="1"/>
  <c r="E177" i="1"/>
  <c r="E186" i="1" s="1"/>
  <c r="H150" i="1"/>
  <c r="H149" i="1"/>
  <c r="H148" i="1"/>
  <c r="H147" i="1"/>
  <c r="F147" i="1"/>
  <c r="I146" i="1"/>
  <c r="G146" i="1"/>
  <c r="H146" i="1" s="1"/>
  <c r="F146" i="1"/>
  <c r="I145" i="1"/>
  <c r="G145" i="1"/>
  <c r="H145" i="1" s="1"/>
  <c r="F145" i="1"/>
  <c r="I144" i="1"/>
  <c r="G144" i="1"/>
  <c r="H144" i="1" s="1"/>
  <c r="F144" i="1"/>
  <c r="I143" i="1"/>
  <c r="G143" i="1"/>
  <c r="H143" i="1" s="1"/>
  <c r="H141" i="1" s="1"/>
  <c r="H142" i="1"/>
  <c r="E141" i="1"/>
  <c r="D141" i="1"/>
  <c r="I140" i="1"/>
  <c r="H140" i="1"/>
  <c r="F140" i="1"/>
  <c r="I139" i="1"/>
  <c r="H139" i="1"/>
  <c r="F139" i="1"/>
  <c r="I138" i="1"/>
  <c r="H138" i="1"/>
  <c r="F138" i="1"/>
  <c r="I137" i="1"/>
  <c r="I136" i="1" s="1"/>
  <c r="I135" i="1" s="1"/>
  <c r="H137" i="1"/>
  <c r="G136" i="1"/>
  <c r="G135" i="1" s="1"/>
  <c r="F137" i="1"/>
  <c r="F136" i="1" s="1"/>
  <c r="F135" i="1" s="1"/>
  <c r="E136" i="1"/>
  <c r="E135" i="1" s="1"/>
  <c r="D136" i="1"/>
  <c r="D135" i="1" s="1"/>
  <c r="D152" i="1" s="1"/>
  <c r="I134" i="1"/>
  <c r="F134" i="1"/>
  <c r="H133" i="1"/>
  <c r="I132" i="1"/>
  <c r="G132" i="1"/>
  <c r="H132" i="1" s="1"/>
  <c r="F132" i="1"/>
  <c r="I131" i="1"/>
  <c r="I130" i="1" s="1"/>
  <c r="G131" i="1"/>
  <c r="H131" i="1" s="1"/>
  <c r="H130" i="1" s="1"/>
  <c r="F131" i="1"/>
  <c r="F130" i="1"/>
  <c r="E130" i="1"/>
  <c r="E152" i="1" s="1"/>
  <c r="D130" i="1"/>
  <c r="C128" i="1"/>
  <c r="H108" i="1"/>
  <c r="H107" i="1"/>
  <c r="H105" i="1"/>
  <c r="F105" i="1"/>
  <c r="I104" i="1"/>
  <c r="H104" i="1"/>
  <c r="G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I97" i="1" s="1"/>
  <c r="I96" i="1" s="1"/>
  <c r="H98" i="1"/>
  <c r="H97" i="1" s="1"/>
  <c r="H96" i="1" s="1"/>
  <c r="G98" i="1"/>
  <c r="G97" i="1" s="1"/>
  <c r="G96" i="1" s="1"/>
  <c r="F98" i="1"/>
  <c r="F97" i="1" s="1"/>
  <c r="F96" i="1" s="1"/>
  <c r="E97" i="1"/>
  <c r="E96" i="1" s="1"/>
  <c r="D97" i="1"/>
  <c r="D96" i="1" s="1"/>
  <c r="D109" i="1" s="1"/>
  <c r="I95" i="1"/>
  <c r="H95" i="1"/>
  <c r="G95" i="1"/>
  <c r="F95" i="1"/>
  <c r="I94" i="1"/>
  <c r="H94" i="1"/>
  <c r="G94" i="1"/>
  <c r="F94" i="1"/>
  <c r="I93" i="1"/>
  <c r="H93" i="1"/>
  <c r="H109" i="1" s="1"/>
  <c r="G93" i="1"/>
  <c r="G109" i="1" s="1"/>
  <c r="F93" i="1"/>
  <c r="E93" i="1"/>
  <c r="D93" i="1"/>
  <c r="C90" i="1"/>
  <c r="H86" i="1"/>
  <c r="F86" i="1"/>
  <c r="D86" i="1"/>
  <c r="G62" i="1"/>
  <c r="G61" i="1"/>
  <c r="H56" i="1"/>
  <c r="I32" i="1" s="1"/>
  <c r="F56" i="1"/>
  <c r="G32" i="1" s="1"/>
  <c r="H32" i="1" s="1"/>
  <c r="E56" i="1"/>
  <c r="F32" i="1" s="1"/>
  <c r="H44" i="1"/>
  <c r="H43" i="1"/>
  <c r="H42" i="1"/>
  <c r="I41" i="1"/>
  <c r="G41" i="1"/>
  <c r="F41" i="1"/>
  <c r="H40" i="1"/>
  <c r="F40" i="1"/>
  <c r="I39" i="1"/>
  <c r="G39" i="1"/>
  <c r="H39" i="1" s="1"/>
  <c r="F39" i="1"/>
  <c r="I38" i="1"/>
  <c r="H38" i="1"/>
  <c r="G38" i="1"/>
  <c r="F38" i="1"/>
  <c r="I37" i="1"/>
  <c r="H37" i="1"/>
  <c r="G37" i="1"/>
  <c r="F37" i="1"/>
  <c r="I36" i="1"/>
  <c r="G36" i="1"/>
  <c r="H36" i="1" s="1"/>
  <c r="F36" i="1"/>
  <c r="I35" i="1"/>
  <c r="G35" i="1"/>
  <c r="G34" i="1" s="1"/>
  <c r="F35" i="1"/>
  <c r="E34" i="1"/>
  <c r="D34" i="1"/>
  <c r="D26" i="1" s="1"/>
  <c r="I33" i="1"/>
  <c r="H33" i="1"/>
  <c r="G33" i="1"/>
  <c r="F33" i="1"/>
  <c r="I31" i="1"/>
  <c r="H31" i="1"/>
  <c r="G31" i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E27" i="1"/>
  <c r="D27" i="1"/>
  <c r="E26" i="1"/>
  <c r="I25" i="1"/>
  <c r="G25" i="1"/>
  <c r="H25" i="1" s="1"/>
  <c r="H23" i="1" s="1"/>
  <c r="F25" i="1"/>
  <c r="F23" i="1" s="1"/>
  <c r="I24" i="1"/>
  <c r="I23" i="1" s="1"/>
  <c r="H24" i="1"/>
  <c r="G24" i="1"/>
  <c r="F24" i="1"/>
  <c r="E23" i="1"/>
  <c r="E45" i="1" s="1"/>
  <c r="D23" i="1"/>
  <c r="H16" i="1"/>
  <c r="F16" i="1"/>
  <c r="D16" i="1"/>
  <c r="H136" i="1" l="1"/>
  <c r="H135" i="1" s="1"/>
  <c r="H152" i="1" s="1"/>
  <c r="F27" i="1"/>
  <c r="F34" i="1"/>
  <c r="F26" i="1" s="1"/>
  <c r="F45" i="1" s="1"/>
  <c r="I27" i="1"/>
  <c r="I34" i="1"/>
  <c r="G56" i="1"/>
  <c r="G27" i="1"/>
  <c r="H35" i="1"/>
  <c r="H27" i="1"/>
  <c r="I152" i="1"/>
  <c r="H290" i="1"/>
  <c r="H301" i="1" s="1"/>
  <c r="E333" i="1"/>
  <c r="G26" i="1"/>
  <c r="H34" i="1"/>
  <c r="H26" i="1" s="1"/>
  <c r="H45" i="1" s="1"/>
  <c r="E109" i="1"/>
  <c r="F109" i="1"/>
  <c r="H333" i="1"/>
  <c r="F301" i="1"/>
  <c r="G333" i="1"/>
  <c r="D45" i="1"/>
  <c r="I109" i="1"/>
  <c r="F152" i="1"/>
  <c r="I301" i="1"/>
  <c r="G290" i="1"/>
  <c r="G301" i="1" s="1"/>
  <c r="G206" i="1"/>
  <c r="G23" i="1"/>
  <c r="G130" i="1"/>
  <c r="G152" i="1" s="1"/>
  <c r="F333" i="1"/>
  <c r="I26" i="1" l="1"/>
  <c r="I45" i="1" s="1"/>
  <c r="G45" i="1"/>
</calcChain>
</file>

<file path=xl/sharedStrings.xml><?xml version="1.0" encoding="utf-8"?>
<sst xmlns="http://schemas.openxmlformats.org/spreadsheetml/2006/main" count="332" uniqueCount="150">
  <si>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</si>
  <si>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</si>
  <si>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</si>
  <si>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</si>
  <si>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</si>
  <si>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</si>
  <si>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</si>
  <si>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</si>
  <si>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</si>
  <si>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</si>
  <si>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</si>
  <si>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</si>
  <si>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</si>
  <si>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</si>
  <si>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</si>
  <si>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</si>
  <si>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</si>
  <si>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</si>
  <si>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</si>
  <si>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</si>
  <si>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</si>
  <si>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</si>
  <si>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</si>
  <si>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</si>
  <si>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</si>
  <si>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</si>
  <si>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</si>
  <si>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</si>
  <si>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</si>
  <si>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</si>
  <si>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</si>
  <si>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</si>
  <si>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</si>
  <si>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</si>
  <si>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</si>
  <si>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</si>
  <si>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</si>
  <si>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</si>
  <si>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</si>
  <si>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</si>
  <si>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</si>
  <si>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</si>
  <si>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</si>
  <si>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</si>
  <si>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</si>
  <si>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</si>
  <si>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</si>
  <si>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</si>
  <si>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</si>
  <si>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</si>
  <si>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</si>
  <si>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</si>
  <si>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</si>
  <si>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</si>
  <si>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</si>
  <si>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</si>
  <si>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</si>
  <si>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</si>
  <si>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</si>
  <si>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</si>
  <si>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</si>
  <si>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</si>
  <si>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</si>
  <si>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</si>
  <si>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</si>
  <si>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</si>
  <si>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</si>
  <si>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</si>
  <si>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</si>
  <si>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</si>
  <si>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</si>
  <si>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</si>
  <si>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</si>
  <si>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</si>
  <si>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</si>
  <si>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</si>
  <si>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</si>
  <si>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</si>
  <si>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</si>
  <si>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</si>
  <si>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</si>
  <si>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</si>
  <si>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</si>
  <si>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</si>
  <si>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</si>
  <si>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</si>
  <si>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</si>
  <si>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</si>
  <si>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</si>
  <si>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</si>
  <si>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</si>
  <si>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</si>
  <si>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</si>
  <si>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</si>
  <si>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</si>
  <si>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</si>
  <si>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</si>
  <si>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</si>
  <si>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</si>
  <si>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</si>
  <si>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</si>
  <si>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</si>
  <si>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</si>
  <si>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</si>
  <si>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</si>
  <si>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</si>
  <si>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</si>
  <si>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</si>
  <si>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</si>
  <si>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</si>
  <si>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</si>
  <si>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</si>
  <si>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</si>
  <si>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</si>
  <si>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</si>
  <si>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</si>
  <si>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</si>
  <si>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</si>
  <si>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</si>
  <si>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</si>
  <si>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</si>
  <si>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</si>
  <si>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</si>
  <si>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</si>
  <si>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</si>
  <si>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</si>
  <si>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</si>
  <si>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</si>
  <si>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</si>
  <si>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</si>
  <si>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</si>
  <si>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</si>
  <si>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</si>
  <si>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</si>
  <si>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</si>
  <si>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</si>
  <si>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</si>
  <si>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</si>
  <si>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</si>
  <si>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</si>
  <si>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</si>
  <si>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</si>
  <si>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FANGST UKE 46</t>
  </si>
  <si>
    <t>FANGST T.O.M UKE 46</t>
  </si>
  <si>
    <t>RESTKVOTER UKE 46</t>
  </si>
  <si>
    <t>FANGST T.O.M UKE 46 2021</t>
  </si>
  <si>
    <r>
      <t xml:space="preserve">3 </t>
    </r>
    <r>
      <rPr>
        <sz val="9"/>
        <color indexed="8"/>
        <rFont val="Calibri"/>
        <family val="2"/>
      </rPr>
      <t>Registrert rekreasjonsfiske utgjør 800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</si>
  <si>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55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</si>
  <si>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512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</si>
  <si>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9 246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</si>
</sst>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i/>
      <sz val="10"/>
      <color theme="1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" fillId="0" borderId="1" xfId="0" applyFont="1" applyBorder="1"/>
    <xf numFmtId="3" fontId="23" fillId="0" borderId="0" xfId="0" applyNumberFormat="1" applyFont="1" applyAlignment="1">
      <alignment vertical="center"/>
    </xf>
    <xf numFmtId="0" fontId="3" fillId="0" borderId="43" xfId="0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3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4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25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0" fontId="1" fillId="0" borderId="4" xfId="0" applyFont="1" applyBorder="1"/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2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2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0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3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41" fillId="0" borderId="0" xfId="0" applyFont="1" applyAlignment="1">
      <alignment vertical="center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20"/>
  <sheetViews>
    <sheetView showGridLines="0" tabSelected="1" showRuler="0" showWhiteSpace="0" view="pageLayout" zoomScaleNormal="110" zoomScaleSheetLayoutView="100" workbookViewId="0">
      <selection activeCell="G20" sqref="G20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3" t="s">
        <v>0</v>
      </c>
      <c r="C2" s="294"/>
      <c r="D2" s="294"/>
      <c r="E2" s="294"/>
      <c r="F2" s="294"/>
      <c r="G2" s="294"/>
      <c r="H2" s="294"/>
      <c r="I2" s="294"/>
      <c r="J2" s="295"/>
    </row>
    <row r="3" spans="1:10" ht="14.85" customHeight="1" x14ac:dyDescent="0.25">
      <c r="A3" s="1"/>
      <c r="B3" s="1"/>
      <c r="C3" s="1" t="s">
        <v>141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141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141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141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141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1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6"/>
      <c r="C9" s="297"/>
      <c r="D9" s="297"/>
      <c r="E9" s="297"/>
      <c r="F9" s="297"/>
      <c r="G9" s="297"/>
      <c r="H9" s="297"/>
      <c r="I9" s="297"/>
      <c r="J9" s="298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3"/>
    </row>
    <row r="11" spans="1:10" ht="14.1" customHeight="1" x14ac:dyDescent="0.25">
      <c r="A11" s="161"/>
      <c r="B11" s="54"/>
      <c r="C11" s="299" t="s">
        <v>2</v>
      </c>
      <c r="D11" s="300"/>
      <c r="E11" s="299" t="s">
        <v>3</v>
      </c>
      <c r="F11" s="300"/>
      <c r="G11" s="299" t="s">
        <v>4</v>
      </c>
      <c r="H11" s="300"/>
      <c r="I11" s="183"/>
      <c r="J11" s="244"/>
    </row>
    <row r="12" spans="1:10" ht="14.1" customHeight="1" x14ac:dyDescent="0.25">
      <c r="A12" s="1"/>
      <c r="B12" s="254"/>
      <c r="C12" s="103"/>
      <c r="D12" s="103"/>
      <c r="E12" s="103" t="s">
        <v>5</v>
      </c>
      <c r="F12" s="117">
        <v>101129</v>
      </c>
      <c r="G12" s="118" t="s">
        <v>6</v>
      </c>
      <c r="H12" s="117">
        <v>27529</v>
      </c>
      <c r="I12" s="183"/>
      <c r="J12" s="244"/>
    </row>
    <row r="13" spans="1:10" ht="15.75" customHeight="1" x14ac:dyDescent="0.25">
      <c r="A13" s="1"/>
      <c r="B13" s="254"/>
      <c r="C13" s="118" t="s">
        <v>7</v>
      </c>
      <c r="D13" s="120">
        <v>321605</v>
      </c>
      <c r="E13" s="118" t="s">
        <v>8</v>
      </c>
      <c r="F13" s="120">
        <v>214900</v>
      </c>
      <c r="G13" s="118" t="s">
        <v>9</v>
      </c>
      <c r="H13" s="120">
        <v>154479</v>
      </c>
      <c r="I13" s="183"/>
      <c r="J13" s="244"/>
    </row>
    <row r="14" spans="1:10" ht="14.25" customHeight="1" x14ac:dyDescent="0.25">
      <c r="A14" s="1"/>
      <c r="B14" s="254"/>
      <c r="C14" s="118" t="s">
        <v>10</v>
      </c>
      <c r="D14" s="120">
        <v>309605</v>
      </c>
      <c r="E14" s="118" t="s">
        <v>11</v>
      </c>
      <c r="F14" s="120">
        <v>20438</v>
      </c>
      <c r="G14" s="118" t="s">
        <v>12</v>
      </c>
      <c r="H14" s="120">
        <v>19092</v>
      </c>
      <c r="I14" s="183"/>
      <c r="J14" s="244"/>
    </row>
    <row r="15" spans="1:10" ht="15.75" customHeight="1" x14ac:dyDescent="0.25">
      <c r="A15" s="1"/>
      <c r="B15" s="254"/>
      <c r="C15" s="118" t="s">
        <v>13</v>
      </c>
      <c r="D15" s="120">
        <v>98270</v>
      </c>
      <c r="E15" s="151"/>
      <c r="F15" s="171"/>
      <c r="G15" s="170" t="s">
        <v>14</v>
      </c>
      <c r="H15" s="291">
        <v>13800</v>
      </c>
      <c r="I15" s="183"/>
      <c r="J15" s="244"/>
    </row>
    <row r="16" spans="1:10" ht="14.1" customHeight="1" x14ac:dyDescent="0.25">
      <c r="A16" s="1"/>
      <c r="B16" s="254"/>
      <c r="C16" s="182" t="s">
        <v>15</v>
      </c>
      <c r="D16" s="194">
        <f>SUM(D13:D15)</f>
        <v>729480</v>
      </c>
      <c r="E16" s="182" t="s">
        <v>16</v>
      </c>
      <c r="F16" s="194">
        <f>SUM(F12:F15)</f>
        <v>336467</v>
      </c>
      <c r="G16" s="182" t="s">
        <v>8</v>
      </c>
      <c r="H16" s="194">
        <f>SUM(H12:H15)</f>
        <v>214900</v>
      </c>
      <c r="J16" s="244"/>
    </row>
    <row r="17" spans="1:10" ht="15" customHeight="1" x14ac:dyDescent="0.25">
      <c r="A17" s="101"/>
      <c r="B17" s="24"/>
      <c r="C17" s="101" t="s">
        <v>17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41"/>
      <c r="C18" s="272"/>
      <c r="D18" s="272"/>
      <c r="E18" s="114"/>
      <c r="F18" s="272"/>
      <c r="G18" s="272"/>
      <c r="H18" s="272"/>
      <c r="I18" s="272"/>
      <c r="J18" s="188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18</v>
      </c>
      <c r="D20" s="258"/>
      <c r="E20" s="275"/>
      <c r="F20" s="258"/>
      <c r="G20" s="258"/>
      <c r="H20" s="206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3"/>
    </row>
    <row r="22" spans="1:10" ht="61.5" customHeight="1" x14ac:dyDescent="0.25">
      <c r="A22" s="161"/>
      <c r="B22" s="54"/>
      <c r="C22" s="15" t="s">
        <v>19</v>
      </c>
      <c r="D22" s="113" t="s">
        <v>20</v>
      </c>
      <c r="E22" s="68" t="s">
        <v>21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80"/>
    </row>
    <row r="23" spans="1:10" ht="14.1" customHeight="1" x14ac:dyDescent="0.25">
      <c r="A23" s="1"/>
      <c r="B23" s="254"/>
      <c r="C23" s="16" t="s">
        <v>22</v>
      </c>
      <c r="D23" s="28">
        <f t="shared" ref="D23:I23" si="0">D25+D24</f>
        <v>101129</v>
      </c>
      <c r="E23" s="28">
        <f t="shared" si="0"/>
        <v>112692</v>
      </c>
      <c r="F23" s="28">
        <f t="shared" si="0"/>
        <v>434.06549999999999</v>
      </c>
      <c r="G23" s="28">
        <f t="shared" si="0"/>
        <v>88113.864300000001</v>
      </c>
      <c r="H23" s="11">
        <f t="shared" si="0"/>
        <v>24578.135700000003</v>
      </c>
      <c r="I23" s="11">
        <f t="shared" si="0"/>
        <v>88729.482070000013</v>
      </c>
      <c r="J23" s="244"/>
    </row>
    <row r="24" spans="1:10" ht="14.1" customHeight="1" x14ac:dyDescent="0.25">
      <c r="A24" s="1"/>
      <c r="B24" s="254"/>
      <c r="C24" s="47" t="s">
        <v>23</v>
      </c>
      <c r="D24" s="48">
        <v>100379</v>
      </c>
      <c r="E24" s="23">
        <v>111899</v>
      </c>
      <c r="F24" s="23">
        <f>416.7075</f>
        <v>416.70749999999998</v>
      </c>
      <c r="G24" s="23">
        <f>87511.76951</f>
        <v>87511.769509999998</v>
      </c>
      <c r="H24" s="23">
        <f>E24-G24</f>
        <v>24387.230490000002</v>
      </c>
      <c r="I24" s="23">
        <f>88242.56587</f>
        <v>88242.565870000006</v>
      </c>
      <c r="J24" s="244"/>
    </row>
    <row r="25" spans="1:10" ht="14.1" customHeight="1" x14ac:dyDescent="0.25">
      <c r="A25" s="1"/>
      <c r="B25" s="254"/>
      <c r="C25" s="50" t="s">
        <v>24</v>
      </c>
      <c r="D25" s="51">
        <v>750</v>
      </c>
      <c r="E25" s="52">
        <v>793</v>
      </c>
      <c r="F25" s="175">
        <f>17.358</f>
        <v>17.358000000000001</v>
      </c>
      <c r="G25" s="23">
        <f>602.09479</f>
        <v>602.09478999999999</v>
      </c>
      <c r="H25" s="23">
        <f>E25-G25</f>
        <v>190.90521000000001</v>
      </c>
      <c r="I25" s="23">
        <f>486.9162</f>
        <v>486.9162</v>
      </c>
      <c r="J25" s="244"/>
    </row>
    <row r="26" spans="1:10" ht="14.1" customHeight="1" x14ac:dyDescent="0.25">
      <c r="A26" s="1"/>
      <c r="B26" s="254"/>
      <c r="C26" s="16" t="s">
        <v>25</v>
      </c>
      <c r="D26" s="28">
        <f t="shared" ref="D26:I26" si="1">D34+D33+D27</f>
        <v>221589</v>
      </c>
      <c r="E26" s="28">
        <f t="shared" si="1"/>
        <v>258016</v>
      </c>
      <c r="F26" s="28">
        <f t="shared" si="1"/>
        <v>1906.02936</v>
      </c>
      <c r="G26" s="11">
        <f t="shared" si="1"/>
        <v>222156.96588999999</v>
      </c>
      <c r="H26" s="11">
        <f t="shared" si="1"/>
        <v>35859.034110000001</v>
      </c>
      <c r="I26" s="11">
        <f t="shared" si="1"/>
        <v>231321.410431</v>
      </c>
      <c r="J26" s="244"/>
    </row>
    <row r="27" spans="1:10" ht="15" customHeight="1" x14ac:dyDescent="0.25">
      <c r="A27" s="53"/>
      <c r="B27" s="55"/>
      <c r="C27" s="59" t="s">
        <v>26</v>
      </c>
      <c r="D27" s="60">
        <f t="shared" ref="D27:I27" si="2">D28+D29+D30+D31+D32</f>
        <v>173468</v>
      </c>
      <c r="E27" s="60">
        <f t="shared" si="2"/>
        <v>198922</v>
      </c>
      <c r="F27" s="136">
        <f>F28+F29+F30+F31+F32</f>
        <v>1588.174</v>
      </c>
      <c r="G27" s="136">
        <f t="shared" si="2"/>
        <v>178391.09578999999</v>
      </c>
      <c r="H27" s="136">
        <f t="shared" si="2"/>
        <v>20530.904210000001</v>
      </c>
      <c r="I27" s="136">
        <f t="shared" si="2"/>
        <v>188810.47145099999</v>
      </c>
      <c r="J27" s="244"/>
    </row>
    <row r="28" spans="1:10" ht="14.1" customHeight="1" x14ac:dyDescent="0.25">
      <c r="A28" s="202"/>
      <c r="B28" s="186"/>
      <c r="C28" s="64" t="s">
        <v>27</v>
      </c>
      <c r="D28" s="65">
        <v>41926</v>
      </c>
      <c r="E28" s="130">
        <v>50598</v>
      </c>
      <c r="F28" s="207">
        <f>254.35237</f>
        <v>254.35237000000001</v>
      </c>
      <c r="G28" s="130">
        <f>45239.67763 - F57</f>
        <v>43515.677629999998</v>
      </c>
      <c r="H28" s="130">
        <f t="shared" ref="H28:H40" si="3">E28-G28</f>
        <v>7082.3223700000017</v>
      </c>
      <c r="I28" s="130">
        <f>45312.64337 - H57</f>
        <v>42862.643369999998</v>
      </c>
      <c r="J28" s="67"/>
    </row>
    <row r="29" spans="1:10" ht="14.1" customHeight="1" x14ac:dyDescent="0.25">
      <c r="A29" s="202"/>
      <c r="B29" s="186"/>
      <c r="C29" s="64" t="s">
        <v>28</v>
      </c>
      <c r="D29" s="65">
        <v>46636</v>
      </c>
      <c r="E29" s="130">
        <v>52093</v>
      </c>
      <c r="F29" s="130">
        <f>408.26488</f>
        <v>408.26488000000001</v>
      </c>
      <c r="G29" s="130">
        <f>51697.6912299999 - F58</f>
        <v>48157.691229999997</v>
      </c>
      <c r="H29" s="130">
        <f t="shared" si="3"/>
        <v>3935.3087700000033</v>
      </c>
      <c r="I29" s="130">
        <f>55894.01804 - H58</f>
        <v>51379.018040000003</v>
      </c>
      <c r="J29" s="67"/>
    </row>
    <row r="30" spans="1:10" ht="14.1" customHeight="1" x14ac:dyDescent="0.25">
      <c r="A30" s="202"/>
      <c r="B30" s="186"/>
      <c r="C30" s="64" t="s">
        <v>29</v>
      </c>
      <c r="D30" s="65">
        <v>42297</v>
      </c>
      <c r="E30" s="130">
        <v>50736</v>
      </c>
      <c r="F30" s="130">
        <f>217.25231</f>
        <v>217.25230999999999</v>
      </c>
      <c r="G30" s="130">
        <f>47012.14405 - F59</f>
        <v>44706.144050000003</v>
      </c>
      <c r="H30" s="130">
        <f t="shared" si="3"/>
        <v>6029.8559499999974</v>
      </c>
      <c r="I30" s="130">
        <f>48930.140119 - H59</f>
        <v>44547.140119000003</v>
      </c>
      <c r="J30" s="67"/>
    </row>
    <row r="31" spans="1:10" ht="14.1" customHeight="1" x14ac:dyDescent="0.25">
      <c r="A31" s="202"/>
      <c r="B31" s="186"/>
      <c r="C31" s="64" t="s">
        <v>30</v>
      </c>
      <c r="D31" s="65">
        <v>30309</v>
      </c>
      <c r="E31" s="130">
        <v>33195</v>
      </c>
      <c r="F31" s="130">
        <f>39.30444</f>
        <v>39.30444</v>
      </c>
      <c r="G31" s="130">
        <f>34441.58288 - F60</f>
        <v>33064.582880000002</v>
      </c>
      <c r="H31" s="130">
        <f t="shared" si="3"/>
        <v>130.41711999999825</v>
      </c>
      <c r="I31" s="130">
        <f>38673.669922 - H60</f>
        <v>36684.669922000001</v>
      </c>
      <c r="J31" s="67"/>
    </row>
    <row r="32" spans="1:10" ht="14.1" customHeight="1" x14ac:dyDescent="0.25">
      <c r="A32" s="202"/>
      <c r="B32" s="186"/>
      <c r="C32" s="64" t="s">
        <v>31</v>
      </c>
      <c r="D32" s="65">
        <v>12300</v>
      </c>
      <c r="E32" s="130">
        <v>12300</v>
      </c>
      <c r="F32" s="130">
        <f>E56</f>
        <v>669</v>
      </c>
      <c r="G32" s="130">
        <f>F56</f>
        <v>8947</v>
      </c>
      <c r="H32" s="130">
        <f t="shared" si="3"/>
        <v>3353</v>
      </c>
      <c r="I32" s="130">
        <f>H56</f>
        <v>13337</v>
      </c>
      <c r="J32" s="67"/>
    </row>
    <row r="33" spans="1:13" ht="14.1" customHeight="1" x14ac:dyDescent="0.25">
      <c r="A33" s="69"/>
      <c r="B33" s="55"/>
      <c r="C33" s="59" t="s">
        <v>32</v>
      </c>
      <c r="D33" s="60">
        <v>27529</v>
      </c>
      <c r="E33" s="60">
        <v>31735</v>
      </c>
      <c r="F33" s="136">
        <f>182.1062</f>
        <v>182.1062</v>
      </c>
      <c r="G33" s="136">
        <f>22280.11386</f>
        <v>22280.113860000001</v>
      </c>
      <c r="H33" s="136">
        <f t="shared" si="3"/>
        <v>9454.8861399999987</v>
      </c>
      <c r="I33" s="136">
        <f>23716.76359</f>
        <v>23716.763589999999</v>
      </c>
      <c r="J33" s="67"/>
    </row>
    <row r="34" spans="1:13" ht="14.1" customHeight="1" x14ac:dyDescent="0.25">
      <c r="A34" s="69"/>
      <c r="B34" s="55"/>
      <c r="C34" s="59" t="s">
        <v>33</v>
      </c>
      <c r="D34" s="60">
        <f>D35+D36</f>
        <v>20592</v>
      </c>
      <c r="E34" s="60">
        <f>E35+E36</f>
        <v>27359</v>
      </c>
      <c r="F34" s="136">
        <f>F35+F36</f>
        <v>135.74915999999999</v>
      </c>
      <c r="G34" s="136">
        <f>G35+G36</f>
        <v>21485.756239999999</v>
      </c>
      <c r="H34" s="136">
        <f t="shared" si="3"/>
        <v>5873.2437600000012</v>
      </c>
      <c r="I34" s="136">
        <f>I35+I36</f>
        <v>18794.17539</v>
      </c>
      <c r="J34" s="67"/>
    </row>
    <row r="35" spans="1:13" ht="14.1" customHeight="1" x14ac:dyDescent="0.25">
      <c r="A35" s="202"/>
      <c r="B35" s="186"/>
      <c r="C35" s="64" t="s">
        <v>34</v>
      </c>
      <c r="D35" s="65">
        <v>19092</v>
      </c>
      <c r="E35" s="71">
        <v>25859</v>
      </c>
      <c r="F35" s="130">
        <f>135.74916</f>
        <v>135.74915999999999</v>
      </c>
      <c r="G35" s="136">
        <f>23168.75624 - F61 - F62</f>
        <v>20801.756239999999</v>
      </c>
      <c r="H35" s="130">
        <f t="shared" si="3"/>
        <v>5057.2437600000012</v>
      </c>
      <c r="I35" s="130">
        <f>21851.17539 - H61 - H62</f>
        <v>17665.17539</v>
      </c>
      <c r="J35" s="67"/>
    </row>
    <row r="36" spans="1:13" ht="14.1" customHeight="1" x14ac:dyDescent="0.25">
      <c r="A36" s="202"/>
      <c r="B36" s="186"/>
      <c r="C36" s="72" t="s">
        <v>35</v>
      </c>
      <c r="D36" s="73">
        <v>1500</v>
      </c>
      <c r="E36" s="130">
        <v>1500</v>
      </c>
      <c r="F36" s="74">
        <f>E61</f>
        <v>0</v>
      </c>
      <c r="G36" s="74">
        <f>F61</f>
        <v>684</v>
      </c>
      <c r="H36" s="74">
        <f t="shared" si="3"/>
        <v>816</v>
      </c>
      <c r="I36" s="74">
        <f>H61</f>
        <v>1129</v>
      </c>
      <c r="J36" s="67"/>
    </row>
    <row r="37" spans="1:13" ht="15.75" customHeight="1" x14ac:dyDescent="0.25">
      <c r="A37" s="1"/>
      <c r="B37" s="254"/>
      <c r="C37" s="76" t="s">
        <v>36</v>
      </c>
      <c r="D37" s="148">
        <v>2500</v>
      </c>
      <c r="E37" s="143">
        <v>2500</v>
      </c>
      <c r="F37" s="143">
        <f>0</f>
        <v>0</v>
      </c>
      <c r="G37" s="143">
        <f>333.80295</f>
        <v>333.80295000000001</v>
      </c>
      <c r="H37" s="143">
        <f t="shared" si="3"/>
        <v>2166.1970499999998</v>
      </c>
      <c r="I37" s="143">
        <f>1315.878249</f>
        <v>1315.8782490000001</v>
      </c>
      <c r="J37" s="244"/>
    </row>
    <row r="38" spans="1:13" ht="14.1" customHeight="1" x14ac:dyDescent="0.25">
      <c r="A38" s="1"/>
      <c r="B38" s="254"/>
      <c r="C38" s="76" t="s">
        <v>37</v>
      </c>
      <c r="D38" s="148">
        <v>971</v>
      </c>
      <c r="E38" s="102">
        <v>971</v>
      </c>
      <c r="F38" s="102">
        <f>7.05072</f>
        <v>7.0507200000000001</v>
      </c>
      <c r="G38" s="102">
        <f>592.76133</f>
        <v>592.76133000000004</v>
      </c>
      <c r="H38" s="102">
        <f t="shared" si="3"/>
        <v>378.23866999999996</v>
      </c>
      <c r="I38" s="102">
        <f>538.4362</f>
        <v>538.43619999999999</v>
      </c>
      <c r="J38" s="244"/>
    </row>
    <row r="39" spans="1:13" ht="17.25" customHeight="1" x14ac:dyDescent="0.25">
      <c r="A39" s="1"/>
      <c r="B39" s="254"/>
      <c r="C39" s="76" t="s">
        <v>38</v>
      </c>
      <c r="D39" s="148">
        <v>3028</v>
      </c>
      <c r="E39" s="143">
        <v>3827</v>
      </c>
      <c r="F39" s="102">
        <f>E62</f>
        <v>0</v>
      </c>
      <c r="G39" s="102">
        <f>F62</f>
        <v>1683</v>
      </c>
      <c r="H39" s="102">
        <f t="shared" si="3"/>
        <v>2144</v>
      </c>
      <c r="I39" s="102">
        <f>H62</f>
        <v>3057</v>
      </c>
      <c r="J39" s="244"/>
    </row>
    <row r="40" spans="1:13" ht="17.25" customHeight="1" x14ac:dyDescent="0.25">
      <c r="A40" s="1"/>
      <c r="B40" s="254"/>
      <c r="C40" s="76" t="s">
        <v>39</v>
      </c>
      <c r="D40" s="148">
        <v>7000</v>
      </c>
      <c r="E40" s="143">
        <v>7000</v>
      </c>
      <c r="F40" s="102">
        <f>4.09031</f>
        <v>4.0903099999999997</v>
      </c>
      <c r="G40" s="102">
        <v>7000</v>
      </c>
      <c r="H40" s="102">
        <f t="shared" si="3"/>
        <v>0</v>
      </c>
      <c r="I40" s="102">
        <v>7000</v>
      </c>
      <c r="J40" s="244"/>
    </row>
    <row r="41" spans="1:13" ht="17.25" customHeight="1" x14ac:dyDescent="0.25">
      <c r="A41" s="1"/>
      <c r="B41" s="254"/>
      <c r="C41" s="76" t="s">
        <v>40</v>
      </c>
      <c r="D41" s="148"/>
      <c r="E41" s="143"/>
      <c r="F41" s="102">
        <f>0</f>
        <v>0</v>
      </c>
      <c r="G41" s="102">
        <f>23.938</f>
        <v>23.937999999999999</v>
      </c>
      <c r="H41" s="102"/>
      <c r="I41" s="102">
        <f>4261.34585</f>
        <v>4261.3458499999997</v>
      </c>
      <c r="J41" s="244"/>
    </row>
    <row r="42" spans="1:13" ht="17.25" customHeight="1" x14ac:dyDescent="0.25">
      <c r="A42" s="1"/>
      <c r="B42" s="254"/>
      <c r="C42" s="76" t="s">
        <v>41</v>
      </c>
      <c r="D42" s="148">
        <v>150</v>
      </c>
      <c r="E42" s="143">
        <v>150</v>
      </c>
      <c r="F42" s="102"/>
      <c r="G42" s="102"/>
      <c r="H42" s="102">
        <f>E42-G42</f>
        <v>150</v>
      </c>
      <c r="I42" s="102"/>
      <c r="J42" s="244"/>
    </row>
    <row r="43" spans="1:13" ht="17.25" customHeight="1" x14ac:dyDescent="0.25">
      <c r="A43" s="1"/>
      <c r="B43" s="254"/>
      <c r="C43" s="76" t="s">
        <v>42</v>
      </c>
      <c r="D43" s="148">
        <v>100</v>
      </c>
      <c r="E43" s="143">
        <v>100</v>
      </c>
      <c r="F43" s="102"/>
      <c r="G43" s="102">
        <v>4.0000000000000001E-3</v>
      </c>
      <c r="H43" s="102">
        <f>E43-G43</f>
        <v>99.995999999999995</v>
      </c>
      <c r="I43" s="102"/>
      <c r="J43" s="244"/>
      <c r="M43" s="225"/>
    </row>
    <row r="44" spans="1:13" ht="14.1" customHeight="1" x14ac:dyDescent="0.25">
      <c r="A44" s="1"/>
      <c r="B44" s="254"/>
      <c r="C44" s="76" t="s">
        <v>43</v>
      </c>
      <c r="D44" s="148"/>
      <c r="E44" s="143"/>
      <c r="F44" s="102">
        <v>2.9999999999290594E-3</v>
      </c>
      <c r="G44" s="102">
        <v>79.557000000029802</v>
      </c>
      <c r="H44" s="102">
        <f>E44-G44</f>
        <v>-79.557000000029802</v>
      </c>
      <c r="I44" s="102">
        <v>120.93842999998014</v>
      </c>
      <c r="J44" s="244"/>
    </row>
    <row r="45" spans="1:13" ht="16.5" customHeight="1" x14ac:dyDescent="0.25">
      <c r="A45" s="1"/>
      <c r="B45" s="254"/>
      <c r="C45" s="77" t="s">
        <v>44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>F23+F26+F37+F38+F39+F40+F41+F42+F43+F44</f>
        <v>2351.2388900000005</v>
      </c>
      <c r="G45" s="80">
        <f t="shared" si="4"/>
        <v>319983.89347000007</v>
      </c>
      <c r="H45" s="80">
        <f t="shared" si="4"/>
        <v>65296.044529999977</v>
      </c>
      <c r="I45" s="80">
        <f t="shared" si="4"/>
        <v>336344.49122999999</v>
      </c>
      <c r="J45" s="244"/>
    </row>
    <row r="46" spans="1:13" ht="14.1" customHeight="1" x14ac:dyDescent="0.25">
      <c r="A46" s="101"/>
      <c r="B46" s="24"/>
      <c r="C46" s="81" t="s">
        <v>45</v>
      </c>
      <c r="D46" s="258"/>
      <c r="E46" s="258"/>
      <c r="F46" s="83"/>
      <c r="G46" s="83"/>
      <c r="H46" s="228"/>
      <c r="I46" s="228"/>
      <c r="J46" s="84"/>
    </row>
    <row r="47" spans="1:13" ht="14.1" customHeight="1" x14ac:dyDescent="0.25">
      <c r="A47" s="101"/>
      <c r="B47" s="24"/>
      <c r="C47" s="85" t="s">
        <v>46</v>
      </c>
      <c r="D47" s="258"/>
      <c r="E47" s="258"/>
      <c r="F47" s="258"/>
      <c r="G47" s="83"/>
      <c r="H47" s="183"/>
      <c r="I47" s="183"/>
      <c r="J47" s="244"/>
    </row>
    <row r="48" spans="1:13" ht="14.1" customHeight="1" x14ac:dyDescent="0.25">
      <c r="A48" s="101"/>
      <c r="B48" s="24"/>
      <c r="C48" s="165" t="s">
        <v>146</v>
      </c>
      <c r="D48" s="258"/>
      <c r="E48" s="258"/>
      <c r="F48" s="258"/>
      <c r="G48" s="83"/>
      <c r="H48" s="183"/>
      <c r="I48" s="183"/>
      <c r="J48" s="123"/>
    </row>
    <row r="49" spans="1:10" ht="14.1" customHeight="1" x14ac:dyDescent="0.25">
      <c r="A49" s="101"/>
      <c r="B49" s="24"/>
      <c r="C49" s="165" t="s">
        <v>47</v>
      </c>
      <c r="D49" s="258"/>
      <c r="E49" s="258"/>
      <c r="F49" s="258"/>
      <c r="G49" s="258"/>
      <c r="H49" s="183"/>
      <c r="I49" s="183"/>
      <c r="J49" s="123"/>
    </row>
    <row r="50" spans="1:10" ht="14.1" customHeight="1" x14ac:dyDescent="0.25">
      <c r="A50" s="101"/>
      <c r="B50" s="24"/>
      <c r="C50" s="101" t="s">
        <v>48</v>
      </c>
      <c r="D50" s="258"/>
      <c r="E50" s="258"/>
      <c r="F50" s="258"/>
      <c r="G50" s="258"/>
      <c r="H50" s="183"/>
      <c r="I50" s="183"/>
      <c r="J50" s="123"/>
    </row>
    <row r="51" spans="1:10" ht="14.1" customHeight="1" x14ac:dyDescent="0.25">
      <c r="A51" s="101"/>
      <c r="B51" s="24"/>
      <c r="C51" s="101"/>
      <c r="D51" s="258"/>
      <c r="E51" s="258"/>
      <c r="F51" s="258"/>
      <c r="G51" s="258"/>
      <c r="H51" s="183"/>
      <c r="I51" s="183"/>
      <c r="J51" s="123"/>
    </row>
    <row r="52" spans="1:10" ht="20.25" customHeight="1" x14ac:dyDescent="0.25">
      <c r="A52" s="101"/>
      <c r="B52" s="241"/>
      <c r="C52" s="272"/>
      <c r="D52" s="272"/>
      <c r="E52" s="114"/>
      <c r="F52" s="272"/>
      <c r="G52" s="272"/>
      <c r="H52" s="272"/>
      <c r="I52" s="272"/>
      <c r="J52" s="188"/>
    </row>
    <row r="53" spans="1:10" ht="33" customHeight="1" x14ac:dyDescent="0.25">
      <c r="A53" s="101"/>
      <c r="B53" s="24"/>
      <c r="C53" s="301" t="s">
        <v>49</v>
      </c>
      <c r="D53" s="301"/>
      <c r="E53" s="301"/>
      <c r="F53" s="301"/>
      <c r="G53" s="301"/>
      <c r="H53" s="301"/>
      <c r="I53" s="86"/>
      <c r="J53" s="87"/>
    </row>
    <row r="54" spans="1:10" ht="7.5" customHeight="1" x14ac:dyDescent="0.25">
      <c r="A54" s="101"/>
      <c r="B54" s="24"/>
      <c r="C54" s="165"/>
      <c r="D54" s="258"/>
      <c r="E54" s="258"/>
      <c r="F54" s="258"/>
      <c r="G54" s="258"/>
      <c r="H54" s="183"/>
      <c r="I54" s="183"/>
      <c r="J54" s="123"/>
    </row>
    <row r="55" spans="1:10" ht="61.5" customHeight="1" x14ac:dyDescent="0.25">
      <c r="A55" s="101"/>
      <c r="B55" s="24"/>
      <c r="C55" s="89" t="s">
        <v>19</v>
      </c>
      <c r="D55" s="68" t="s">
        <v>50</v>
      </c>
      <c r="E55" s="68" t="s">
        <v>142</v>
      </c>
      <c r="F55" s="68" t="s">
        <v>143</v>
      </c>
      <c r="G55" s="68" t="s">
        <v>144</v>
      </c>
      <c r="H55" s="68" t="s">
        <v>145</v>
      </c>
      <c r="I55" s="258"/>
      <c r="J55" s="244"/>
    </row>
    <row r="56" spans="1:10" ht="14.1" customHeight="1" x14ac:dyDescent="0.25">
      <c r="A56" s="101"/>
      <c r="B56" s="24"/>
      <c r="C56" s="16" t="s">
        <v>51</v>
      </c>
      <c r="D56" s="302">
        <v>12300</v>
      </c>
      <c r="E56" s="11">
        <f>E60+E59+E58+E57</f>
        <v>669</v>
      </c>
      <c r="F56" s="11">
        <f>F60+F59+F58+F57</f>
        <v>8947</v>
      </c>
      <c r="G56" s="302">
        <f>D56-F56</f>
        <v>3353</v>
      </c>
      <c r="H56" s="11">
        <f>H60+H59+H58+H57</f>
        <v>13337</v>
      </c>
      <c r="I56" s="258"/>
      <c r="J56" s="244"/>
    </row>
    <row r="57" spans="1:10" ht="14.1" customHeight="1" x14ac:dyDescent="0.25">
      <c r="A57" s="101"/>
      <c r="B57" s="24"/>
      <c r="C57" s="64" t="s">
        <v>27</v>
      </c>
      <c r="D57" s="303"/>
      <c r="E57" s="130">
        <v>233</v>
      </c>
      <c r="F57" s="130">
        <v>1724</v>
      </c>
      <c r="G57" s="303"/>
      <c r="H57" s="130">
        <v>2450</v>
      </c>
      <c r="I57" s="258"/>
      <c r="J57" s="244"/>
    </row>
    <row r="58" spans="1:10" ht="14.1" customHeight="1" x14ac:dyDescent="0.25">
      <c r="A58" s="101"/>
      <c r="B58" s="24"/>
      <c r="C58" s="64" t="s">
        <v>28</v>
      </c>
      <c r="D58" s="303"/>
      <c r="E58" s="130">
        <v>266</v>
      </c>
      <c r="F58" s="130">
        <v>3540</v>
      </c>
      <c r="G58" s="303"/>
      <c r="H58" s="130">
        <v>4515</v>
      </c>
      <c r="I58" s="258"/>
      <c r="J58" s="244"/>
    </row>
    <row r="59" spans="1:10" ht="14.1" customHeight="1" x14ac:dyDescent="0.25">
      <c r="A59" s="101"/>
      <c r="B59" s="24"/>
      <c r="C59" s="64" t="s">
        <v>29</v>
      </c>
      <c r="D59" s="303"/>
      <c r="E59" s="130">
        <v>113</v>
      </c>
      <c r="F59" s="130">
        <v>2306</v>
      </c>
      <c r="G59" s="303"/>
      <c r="H59" s="130">
        <v>4383</v>
      </c>
      <c r="I59" s="258"/>
      <c r="J59" s="244"/>
    </row>
    <row r="60" spans="1:10" ht="14.1" customHeight="1" x14ac:dyDescent="0.25">
      <c r="A60" s="101"/>
      <c r="B60" s="24"/>
      <c r="C60" s="91" t="s">
        <v>30</v>
      </c>
      <c r="D60" s="304"/>
      <c r="E60" s="196">
        <v>57</v>
      </c>
      <c r="F60" s="196">
        <v>1377</v>
      </c>
      <c r="G60" s="304"/>
      <c r="H60" s="196">
        <v>1989</v>
      </c>
      <c r="I60" s="258"/>
      <c r="J60" s="244"/>
    </row>
    <row r="61" spans="1:10" ht="14.1" customHeight="1" x14ac:dyDescent="0.25">
      <c r="A61" s="101"/>
      <c r="B61" s="24"/>
      <c r="C61" s="92" t="s">
        <v>52</v>
      </c>
      <c r="D61" s="98">
        <v>1500</v>
      </c>
      <c r="E61" s="98">
        <v>0</v>
      </c>
      <c r="F61" s="98">
        <v>684</v>
      </c>
      <c r="G61" s="98">
        <f>D61-F61</f>
        <v>816</v>
      </c>
      <c r="H61" s="98">
        <v>1129</v>
      </c>
      <c r="I61" s="258"/>
      <c r="J61" s="244"/>
    </row>
    <row r="62" spans="1:10" ht="14.1" customHeight="1" x14ac:dyDescent="0.25">
      <c r="A62" s="101"/>
      <c r="B62" s="24"/>
      <c r="C62" s="147" t="s">
        <v>53</v>
      </c>
      <c r="D62" s="143">
        <v>3827</v>
      </c>
      <c r="E62" s="143">
        <v>0</v>
      </c>
      <c r="F62" s="143">
        <v>1683</v>
      </c>
      <c r="G62" s="143">
        <f>D62-F62</f>
        <v>2144</v>
      </c>
      <c r="H62" s="143">
        <v>3057</v>
      </c>
      <c r="I62" s="258"/>
      <c r="J62" s="244"/>
    </row>
    <row r="63" spans="1:10" ht="14.1" customHeight="1" x14ac:dyDescent="0.25">
      <c r="A63" s="101"/>
      <c r="B63" s="24"/>
      <c r="C63" s="81" t="s">
        <v>54</v>
      </c>
      <c r="D63" s="258"/>
      <c r="E63" s="258"/>
      <c r="F63" s="258"/>
      <c r="G63" s="258"/>
      <c r="H63" s="183"/>
      <c r="I63" s="183"/>
      <c r="J63" s="123"/>
    </row>
    <row r="64" spans="1:10" ht="14.1" customHeight="1" x14ac:dyDescent="0.25">
      <c r="A64" s="101"/>
      <c r="B64" s="24"/>
      <c r="C64" s="165"/>
      <c r="D64" s="258"/>
      <c r="E64" s="258"/>
      <c r="F64" s="258"/>
      <c r="G64" s="258"/>
      <c r="H64" s="183"/>
      <c r="I64" s="183"/>
      <c r="J64" s="123"/>
    </row>
    <row r="65" spans="1:10" ht="15" customHeight="1" x14ac:dyDescent="0.25">
      <c r="A65" s="101"/>
      <c r="B65" s="24"/>
      <c r="C65" s="165"/>
      <c r="D65" s="258"/>
      <c r="E65" s="258"/>
      <c r="F65" s="258"/>
      <c r="G65" s="258"/>
      <c r="H65" s="183"/>
      <c r="I65" s="183"/>
      <c r="J65" s="123"/>
    </row>
    <row r="66" spans="1:10" ht="12" customHeight="1" x14ac:dyDescent="0.25">
      <c r="A66" s="101"/>
      <c r="B66" s="95"/>
      <c r="C66" s="201"/>
      <c r="D66" s="61"/>
      <c r="E66" s="61"/>
      <c r="F66" s="61"/>
      <c r="G66" s="61"/>
      <c r="H66" s="109"/>
      <c r="I66" s="109"/>
      <c r="J66" s="12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B68" s="1"/>
      <c r="C68" s="288"/>
      <c r="D68" s="122"/>
      <c r="E68" s="122"/>
      <c r="F68" s="122"/>
      <c r="G68" s="122"/>
      <c r="H68" s="1"/>
      <c r="I68" s="1"/>
      <c r="J68" s="1"/>
    </row>
    <row r="69" spans="1:10" x14ac:dyDescent="0.25">
      <c r="B69" s="1" t="s">
        <v>141</v>
      </c>
      <c r="C69" s="288"/>
      <c r="D69" s="122"/>
      <c r="E69" s="122"/>
      <c r="F69" s="122"/>
      <c r="G69" s="122"/>
      <c r="H69" s="1"/>
      <c r="I69" s="1"/>
      <c r="J69" s="1"/>
    </row>
    <row r="79" spans="1:10" ht="17.100000000000001" customHeight="1" x14ac:dyDescent="0.25">
      <c r="B79" s="2"/>
      <c r="C79" s="219" t="s">
        <v>55</v>
      </c>
      <c r="D79" s="2"/>
      <c r="E79" s="2"/>
      <c r="F79" s="2"/>
      <c r="G79" s="2"/>
      <c r="H79" s="2"/>
      <c r="I79" s="2"/>
      <c r="J79" s="2"/>
    </row>
    <row r="80" spans="1:10" ht="3" customHeight="1" x14ac:dyDescent="0.25">
      <c r="B80" s="2"/>
      <c r="C80" s="219"/>
      <c r="D80" s="2"/>
      <c r="E80" s="2"/>
      <c r="F80" s="2"/>
      <c r="G80" s="2"/>
      <c r="H80" s="2"/>
      <c r="I80" s="2"/>
      <c r="J80" s="2"/>
    </row>
    <row r="81" spans="1:10" ht="14.1" customHeight="1" x14ac:dyDescent="0.25">
      <c r="B81" s="142"/>
      <c r="C81" s="159"/>
      <c r="D81" s="159"/>
      <c r="E81" s="159"/>
      <c r="F81" s="159"/>
      <c r="G81" s="159"/>
      <c r="H81" s="159"/>
      <c r="I81" s="159"/>
      <c r="J81" s="166"/>
    </row>
    <row r="82" spans="1:10" ht="16.5" customHeight="1" x14ac:dyDescent="0.25">
      <c r="B82" s="54"/>
      <c r="C82" s="299" t="s">
        <v>2</v>
      </c>
      <c r="D82" s="300"/>
      <c r="E82" s="299" t="s">
        <v>3</v>
      </c>
      <c r="F82" s="305"/>
      <c r="G82" s="299" t="s">
        <v>4</v>
      </c>
      <c r="H82" s="300"/>
      <c r="I82" s="183"/>
      <c r="J82" s="244"/>
    </row>
    <row r="83" spans="1:10" ht="15" customHeight="1" x14ac:dyDescent="0.25">
      <c r="B83" s="254"/>
      <c r="C83" s="118" t="s">
        <v>7</v>
      </c>
      <c r="D83" s="120">
        <v>88130</v>
      </c>
      <c r="E83" s="259" t="s">
        <v>5</v>
      </c>
      <c r="F83" s="117">
        <v>33472</v>
      </c>
      <c r="G83" s="195" t="s">
        <v>6</v>
      </c>
      <c r="H83" s="117">
        <v>9830</v>
      </c>
      <c r="I83" s="183"/>
      <c r="J83" s="244"/>
    </row>
    <row r="84" spans="1:10" ht="15" customHeight="1" x14ac:dyDescent="0.25">
      <c r="B84" s="254"/>
      <c r="C84" s="118" t="s">
        <v>10</v>
      </c>
      <c r="D84" s="120">
        <v>79130</v>
      </c>
      <c r="E84" s="248" t="s">
        <v>8</v>
      </c>
      <c r="F84" s="120">
        <v>54612</v>
      </c>
      <c r="G84" s="195" t="s">
        <v>9</v>
      </c>
      <c r="H84" s="120">
        <v>40413</v>
      </c>
      <c r="I84" s="183"/>
      <c r="J84" s="244"/>
    </row>
    <row r="85" spans="1:10" ht="14.1" customHeight="1" x14ac:dyDescent="0.25">
      <c r="B85" s="254"/>
      <c r="C85" s="118" t="s">
        <v>56</v>
      </c>
      <c r="D85" s="120">
        <v>11272</v>
      </c>
      <c r="E85" s="118" t="s">
        <v>11</v>
      </c>
      <c r="F85" s="120">
        <v>2617</v>
      </c>
      <c r="G85" s="195" t="s">
        <v>12</v>
      </c>
      <c r="H85" s="120">
        <v>4369</v>
      </c>
      <c r="I85" s="183"/>
      <c r="J85" s="244"/>
    </row>
    <row r="86" spans="1:10" ht="12" customHeight="1" x14ac:dyDescent="0.25">
      <c r="B86" s="254"/>
      <c r="C86" s="182" t="s">
        <v>57</v>
      </c>
      <c r="D86" s="194">
        <f>SUM(D83:D85)</f>
        <v>178532</v>
      </c>
      <c r="E86" s="182" t="s">
        <v>16</v>
      </c>
      <c r="F86" s="194">
        <f>SUM(F83:F85)</f>
        <v>90701</v>
      </c>
      <c r="G86" s="182" t="s">
        <v>8</v>
      </c>
      <c r="H86" s="194">
        <f>SUM(H83:H85)</f>
        <v>54612</v>
      </c>
      <c r="I86" s="183"/>
      <c r="J86" s="244"/>
    </row>
    <row r="87" spans="1:10" ht="14.25" customHeight="1" x14ac:dyDescent="0.25">
      <c r="A87" s="1"/>
      <c r="B87" s="254"/>
      <c r="C87" s="101" t="s">
        <v>58</v>
      </c>
      <c r="D87" s="220"/>
      <c r="E87" s="220"/>
      <c r="F87" s="220"/>
      <c r="G87" s="220"/>
      <c r="H87" s="220"/>
      <c r="I87" s="236"/>
      <c r="J87" s="123"/>
    </row>
    <row r="88" spans="1:10" ht="6" customHeight="1" x14ac:dyDescent="0.25">
      <c r="A88" s="1"/>
      <c r="B88" s="254"/>
      <c r="C88" s="99"/>
      <c r="D88" s="99"/>
      <c r="E88" s="99"/>
      <c r="F88" s="99"/>
      <c r="G88" s="99"/>
      <c r="H88" s="99"/>
      <c r="I88" s="236"/>
      <c r="J88" s="123"/>
    </row>
    <row r="89" spans="1:10" ht="14.1" customHeight="1" x14ac:dyDescent="0.25">
      <c r="A89" s="1"/>
      <c r="B89" s="135"/>
      <c r="C89" s="272"/>
      <c r="D89" s="114"/>
      <c r="E89" s="272"/>
      <c r="F89" s="272"/>
      <c r="G89" s="272"/>
      <c r="H89" s="272"/>
      <c r="I89" s="261"/>
      <c r="J89" s="188"/>
    </row>
    <row r="90" spans="1:10" ht="20.25" customHeight="1" x14ac:dyDescent="0.25">
      <c r="A90" s="1"/>
      <c r="B90" s="254"/>
      <c r="C90" s="18" t="str">
        <f>C20</f>
        <v>KVOTE- OG FANGSTOVERSIKT</v>
      </c>
      <c r="D90" s="99"/>
      <c r="E90" s="99"/>
      <c r="F90" s="99"/>
      <c r="G90" s="99"/>
      <c r="H90" s="99"/>
      <c r="I90" s="1"/>
      <c r="J90" s="123"/>
    </row>
    <row r="91" spans="1:10" ht="11.25" customHeight="1" x14ac:dyDescent="0.3">
      <c r="A91" s="1"/>
      <c r="B91" s="254"/>
      <c r="C91" s="290"/>
      <c r="D91" s="290"/>
      <c r="E91" s="290"/>
      <c r="F91" s="290"/>
      <c r="G91" s="290"/>
      <c r="H91" s="290"/>
      <c r="I91" s="290"/>
      <c r="J91" s="19"/>
    </row>
    <row r="92" spans="1:10" ht="54" customHeight="1" x14ac:dyDescent="0.25">
      <c r="A92" s="1"/>
      <c r="B92" s="254"/>
      <c r="C92" s="15" t="s">
        <v>19</v>
      </c>
      <c r="D92" s="113" t="s">
        <v>20</v>
      </c>
      <c r="E92" s="15" t="s">
        <v>59</v>
      </c>
      <c r="F92" s="15" t="s">
        <v>142</v>
      </c>
      <c r="G92" s="15" t="s">
        <v>143</v>
      </c>
      <c r="H92" s="15" t="s">
        <v>144</v>
      </c>
      <c r="I92" s="15" t="s">
        <v>145</v>
      </c>
      <c r="J92" s="123"/>
    </row>
    <row r="93" spans="1:10" ht="14.1" customHeight="1" x14ac:dyDescent="0.25">
      <c r="A93" s="1"/>
      <c r="B93" s="254"/>
      <c r="C93" s="32" t="s">
        <v>22</v>
      </c>
      <c r="D93" s="28">
        <f t="shared" ref="D93:I93" si="5">D95+D94</f>
        <v>33472</v>
      </c>
      <c r="E93" s="28">
        <f t="shared" si="5"/>
        <v>32686</v>
      </c>
      <c r="F93" s="11">
        <f t="shared" si="5"/>
        <v>143.13319999999999</v>
      </c>
      <c r="G93" s="11">
        <f t="shared" si="5"/>
        <v>37816.414259999998</v>
      </c>
      <c r="H93" s="11">
        <f t="shared" si="5"/>
        <v>-5130.4142600000014</v>
      </c>
      <c r="I93" s="11">
        <f t="shared" si="5"/>
        <v>45671.481080000005</v>
      </c>
      <c r="J93" s="244"/>
    </row>
    <row r="94" spans="1:10" ht="15" customHeight="1" x14ac:dyDescent="0.25">
      <c r="A94" s="1"/>
      <c r="B94" s="254"/>
      <c r="C94" s="47" t="s">
        <v>23</v>
      </c>
      <c r="D94" s="48">
        <v>32722</v>
      </c>
      <c r="E94" s="23">
        <v>31903</v>
      </c>
      <c r="F94" s="23">
        <f>139.5086</f>
        <v>139.5086</v>
      </c>
      <c r="G94" s="23">
        <f>37070.21265</f>
        <v>37070.212650000001</v>
      </c>
      <c r="H94" s="23">
        <f>E94-G94</f>
        <v>-5167.2126500000013</v>
      </c>
      <c r="I94" s="23">
        <f>44890.23554</f>
        <v>44890.235540000001</v>
      </c>
      <c r="J94" s="244"/>
    </row>
    <row r="95" spans="1:10" ht="14.1" customHeight="1" x14ac:dyDescent="0.25">
      <c r="A95" s="1"/>
      <c r="B95" s="254"/>
      <c r="C95" s="66" t="s">
        <v>24</v>
      </c>
      <c r="D95" s="51">
        <v>750</v>
      </c>
      <c r="E95" s="52">
        <v>783</v>
      </c>
      <c r="F95" s="52">
        <f>3.6246</f>
        <v>3.6246</v>
      </c>
      <c r="G95" s="52">
        <f>746.20161</f>
        <v>746.20160999999996</v>
      </c>
      <c r="H95" s="52">
        <f>E95-G95</f>
        <v>36.79839000000004</v>
      </c>
      <c r="I95" s="52">
        <f>781.24554</f>
        <v>781.24554000000001</v>
      </c>
      <c r="J95" s="244"/>
    </row>
    <row r="96" spans="1:10" ht="15.75" customHeight="1" x14ac:dyDescent="0.25">
      <c r="A96" s="1"/>
      <c r="B96" s="54"/>
      <c r="C96" s="16" t="s">
        <v>25</v>
      </c>
      <c r="D96" s="28">
        <f t="shared" ref="D96:I96" si="6">D97+D102+D103</f>
        <v>56489</v>
      </c>
      <c r="E96" s="28">
        <f t="shared" si="6"/>
        <v>68210</v>
      </c>
      <c r="F96" s="11">
        <f t="shared" si="6"/>
        <v>469.57749000000001</v>
      </c>
      <c r="G96" s="11">
        <f t="shared" si="6"/>
        <v>39954.045229999996</v>
      </c>
      <c r="H96" s="11">
        <f t="shared" si="6"/>
        <v>28255.95477</v>
      </c>
      <c r="I96" s="11">
        <f t="shared" si="6"/>
        <v>43039.585129999999</v>
      </c>
      <c r="J96" s="244"/>
    </row>
    <row r="97" spans="1:10" ht="14.1" customHeight="1" x14ac:dyDescent="0.25">
      <c r="A97" s="1"/>
      <c r="B97" s="55"/>
      <c r="C97" s="59" t="s">
        <v>26</v>
      </c>
      <c r="D97" s="60">
        <f t="shared" ref="D97:I97" si="7">D98+D99+D100+D101</f>
        <v>42290</v>
      </c>
      <c r="E97" s="60">
        <f t="shared" si="7"/>
        <v>51009</v>
      </c>
      <c r="F97" s="136">
        <f t="shared" si="7"/>
        <v>342.29041000000001</v>
      </c>
      <c r="G97" s="136">
        <f t="shared" si="7"/>
        <v>30229.021580000001</v>
      </c>
      <c r="H97" s="136">
        <f t="shared" si="7"/>
        <v>20779.978419999999</v>
      </c>
      <c r="I97" s="136">
        <f t="shared" si="7"/>
        <v>34446.670689999999</v>
      </c>
      <c r="J97" s="244"/>
    </row>
    <row r="98" spans="1:10" ht="14.1" customHeight="1" x14ac:dyDescent="0.25">
      <c r="A98" s="202"/>
      <c r="B98" s="186"/>
      <c r="C98" s="64" t="s">
        <v>27</v>
      </c>
      <c r="D98" s="65">
        <v>11327</v>
      </c>
      <c r="E98" s="130">
        <v>13658</v>
      </c>
      <c r="F98" s="130">
        <f>107.78485</f>
        <v>107.78485000000001</v>
      </c>
      <c r="G98" s="130">
        <f>4052.98079</f>
        <v>4052.9807900000001</v>
      </c>
      <c r="H98" s="130">
        <f t="shared" ref="H98:H105" si="8">E98-G98</f>
        <v>9605.0192100000004</v>
      </c>
      <c r="I98" s="130">
        <f>4803.44094</f>
        <v>4803.4409400000004</v>
      </c>
      <c r="J98" s="244"/>
    </row>
    <row r="99" spans="1:10" ht="14.1" customHeight="1" x14ac:dyDescent="0.25">
      <c r="A99" s="202"/>
      <c r="B99" s="186"/>
      <c r="C99" s="64" t="s">
        <v>60</v>
      </c>
      <c r="D99" s="65">
        <v>12171</v>
      </c>
      <c r="E99" s="130">
        <v>14540</v>
      </c>
      <c r="F99" s="130">
        <f>149.18731</f>
        <v>149.18731</v>
      </c>
      <c r="G99" s="130">
        <f>10413.32738</f>
        <v>10413.327380000001</v>
      </c>
      <c r="H99" s="130">
        <f t="shared" si="8"/>
        <v>4126.6726199999994</v>
      </c>
      <c r="I99" s="130">
        <f>11343.92959</f>
        <v>11343.92959</v>
      </c>
      <c r="J99" s="244"/>
    </row>
    <row r="100" spans="1:10" ht="14.1" customHeight="1" x14ac:dyDescent="0.25">
      <c r="A100" s="202"/>
      <c r="B100" s="186"/>
      <c r="C100" s="64" t="s">
        <v>61</v>
      </c>
      <c r="D100" s="65">
        <v>11356</v>
      </c>
      <c r="E100" s="130">
        <v>13798</v>
      </c>
      <c r="F100" s="130">
        <f>77.96495</f>
        <v>77.964950000000002</v>
      </c>
      <c r="G100" s="130">
        <f>8307.62253</f>
        <v>8307.6225300000006</v>
      </c>
      <c r="H100" s="130">
        <f t="shared" si="8"/>
        <v>5490.3774699999994</v>
      </c>
      <c r="I100" s="130">
        <f>11955.40066</f>
        <v>11955.400659999999</v>
      </c>
      <c r="J100" s="244"/>
    </row>
    <row r="101" spans="1:10" ht="14.1" customHeight="1" x14ac:dyDescent="0.25">
      <c r="A101" s="202"/>
      <c r="B101" s="186"/>
      <c r="C101" s="64" t="s">
        <v>30</v>
      </c>
      <c r="D101" s="65">
        <v>7436</v>
      </c>
      <c r="E101" s="130">
        <v>9013</v>
      </c>
      <c r="F101" s="130">
        <f>7.3533</f>
        <v>7.3532999999999999</v>
      </c>
      <c r="G101" s="130">
        <f>7455.09088</f>
        <v>7455.0908799999997</v>
      </c>
      <c r="H101" s="130">
        <f t="shared" si="8"/>
        <v>1557.9091200000003</v>
      </c>
      <c r="I101" s="130">
        <f>6343.8995</f>
        <v>6343.8995000000004</v>
      </c>
      <c r="J101" s="244"/>
    </row>
    <row r="102" spans="1:10" ht="14.1" customHeight="1" x14ac:dyDescent="0.25">
      <c r="A102" s="202"/>
      <c r="B102" s="186"/>
      <c r="C102" s="59" t="s">
        <v>62</v>
      </c>
      <c r="D102" s="60">
        <v>9830</v>
      </c>
      <c r="E102" s="136">
        <v>11908</v>
      </c>
      <c r="F102" s="136">
        <f>15.37822</f>
        <v>15.378220000000001</v>
      </c>
      <c r="G102" s="136">
        <f>7325.38815</f>
        <v>7325.3881499999998</v>
      </c>
      <c r="H102" s="136">
        <f t="shared" si="8"/>
        <v>4582.6118500000002</v>
      </c>
      <c r="I102" s="136">
        <f>6576.56822</f>
        <v>6576.5682200000001</v>
      </c>
      <c r="J102" s="244"/>
    </row>
    <row r="103" spans="1:10" ht="15.75" customHeight="1" x14ac:dyDescent="0.25">
      <c r="A103" s="1"/>
      <c r="B103" s="55"/>
      <c r="C103" s="38" t="s">
        <v>12</v>
      </c>
      <c r="D103" s="63">
        <v>4369</v>
      </c>
      <c r="E103" s="78">
        <v>5293</v>
      </c>
      <c r="F103" s="78">
        <f>111.90886</f>
        <v>111.90886</v>
      </c>
      <c r="G103" s="78">
        <f>2399.6355</f>
        <v>2399.6354999999999</v>
      </c>
      <c r="H103" s="78">
        <f t="shared" si="8"/>
        <v>2893.3645000000001</v>
      </c>
      <c r="I103" s="78">
        <f>2016.34622</f>
        <v>2016.3462199999999</v>
      </c>
      <c r="J103" s="244"/>
    </row>
    <row r="104" spans="1:10" ht="15.75" customHeight="1" x14ac:dyDescent="0.25">
      <c r="A104" s="1"/>
      <c r="B104" s="55"/>
      <c r="C104" s="76" t="s">
        <v>37</v>
      </c>
      <c r="D104" s="93">
        <v>390</v>
      </c>
      <c r="E104" s="102">
        <v>390</v>
      </c>
      <c r="F104" s="102">
        <f>0</f>
        <v>0</v>
      </c>
      <c r="G104" s="102">
        <f>22.78913</f>
        <v>22.78913</v>
      </c>
      <c r="H104" s="102">
        <f t="shared" si="8"/>
        <v>367.21087</v>
      </c>
      <c r="I104" s="102">
        <f>36.31703</f>
        <v>36.317030000000003</v>
      </c>
      <c r="J104" s="244"/>
    </row>
    <row r="105" spans="1:10" ht="18" customHeight="1" x14ac:dyDescent="0.25">
      <c r="A105" s="1"/>
      <c r="B105" s="254"/>
      <c r="C105" s="76" t="s">
        <v>63</v>
      </c>
      <c r="D105" s="148">
        <v>300</v>
      </c>
      <c r="E105" s="143">
        <v>300</v>
      </c>
      <c r="F105" s="143">
        <f>0.93514</f>
        <v>0.93513999999999997</v>
      </c>
      <c r="G105" s="143">
        <v>300</v>
      </c>
      <c r="H105" s="143">
        <f t="shared" si="8"/>
        <v>0</v>
      </c>
      <c r="I105" s="143">
        <v>300</v>
      </c>
      <c r="J105" s="244"/>
    </row>
    <row r="106" spans="1:10" ht="15.75" customHeight="1" x14ac:dyDescent="0.25">
      <c r="A106" s="1"/>
      <c r="B106" s="254"/>
      <c r="C106" s="96" t="s">
        <v>40</v>
      </c>
      <c r="D106" s="148"/>
      <c r="E106" s="143"/>
      <c r="F106" s="143">
        <v>0</v>
      </c>
      <c r="G106" s="143">
        <v>0</v>
      </c>
      <c r="H106" s="143"/>
      <c r="I106" s="143">
        <v>100.9092</v>
      </c>
      <c r="J106" s="244"/>
    </row>
    <row r="107" spans="1:10" ht="16.5" customHeight="1" x14ac:dyDescent="0.25">
      <c r="A107" s="1"/>
      <c r="B107" s="254"/>
      <c r="C107" s="96" t="s">
        <v>41</v>
      </c>
      <c r="D107" s="148">
        <v>50</v>
      </c>
      <c r="E107" s="143">
        <v>50</v>
      </c>
      <c r="F107" s="143"/>
      <c r="G107" s="143"/>
      <c r="H107" s="143">
        <f>E107-G107</f>
        <v>50</v>
      </c>
      <c r="I107" s="143"/>
      <c r="J107" s="244"/>
    </row>
    <row r="108" spans="1:10" ht="18" customHeight="1" x14ac:dyDescent="0.25">
      <c r="A108" s="1"/>
      <c r="B108" s="254"/>
      <c r="C108" s="96" t="s">
        <v>64</v>
      </c>
      <c r="D108" s="148"/>
      <c r="E108" s="143"/>
      <c r="F108" s="143">
        <v>0</v>
      </c>
      <c r="G108" s="143">
        <v>8.7677999999868916</v>
      </c>
      <c r="H108" s="143">
        <f>E108-G108</f>
        <v>-8.7677999999868916</v>
      </c>
      <c r="I108" s="143">
        <v>43.734779999998864</v>
      </c>
      <c r="J108" s="244"/>
    </row>
    <row r="109" spans="1:10" ht="16.5" customHeight="1" x14ac:dyDescent="0.25">
      <c r="A109" s="1"/>
      <c r="B109" s="254"/>
      <c r="C109" s="77" t="s">
        <v>44</v>
      </c>
      <c r="D109" s="80">
        <f>D93+D96+D104+D105+D106+D107+D108</f>
        <v>90701</v>
      </c>
      <c r="E109" s="80">
        <f>E93+E96+E104+E105+E106+E107+E108</f>
        <v>101636</v>
      </c>
      <c r="F109" s="80">
        <f t="shared" ref="F109:G109" si="9">F93+F96+F104+F105+F106+F107+F108</f>
        <v>613.64583000000005</v>
      </c>
      <c r="G109" s="80">
        <f t="shared" si="9"/>
        <v>78102.016419999985</v>
      </c>
      <c r="H109" s="80">
        <f>H93+H96+H104+H105+H106+H107+H108</f>
        <v>23533.983580000011</v>
      </c>
      <c r="I109" s="80">
        <f>I93+I96+I104+I105+I106+I107+I108</f>
        <v>89192.027220000004</v>
      </c>
      <c r="J109" s="244"/>
    </row>
    <row r="110" spans="1:10" ht="13.5" customHeight="1" x14ac:dyDescent="0.25">
      <c r="A110" s="1"/>
      <c r="B110" s="254"/>
      <c r="C110" s="81" t="s">
        <v>65</v>
      </c>
      <c r="D110" s="104"/>
      <c r="E110" s="104"/>
      <c r="F110" s="105"/>
      <c r="G110" s="105"/>
      <c r="H110" s="107"/>
      <c r="I110" s="228"/>
      <c r="J110" s="244"/>
    </row>
    <row r="111" spans="1:10" ht="13.5" customHeight="1" x14ac:dyDescent="0.25">
      <c r="A111" s="1"/>
      <c r="B111" s="24"/>
      <c r="C111" s="165" t="s">
        <v>147</v>
      </c>
      <c r="D111" s="258"/>
      <c r="E111" s="258"/>
      <c r="F111" s="83"/>
      <c r="G111" s="83"/>
      <c r="H111" s="228"/>
      <c r="I111" s="228"/>
      <c r="J111" s="108"/>
    </row>
    <row r="112" spans="1:10" ht="15" customHeight="1" x14ac:dyDescent="0.25">
      <c r="A112" s="1"/>
      <c r="B112" s="24"/>
      <c r="C112" s="165" t="s">
        <v>66</v>
      </c>
      <c r="D112" s="258"/>
      <c r="E112" s="258"/>
      <c r="F112" s="83"/>
      <c r="G112" s="83"/>
      <c r="H112" s="228"/>
      <c r="I112" s="228"/>
      <c r="J112" s="108"/>
    </row>
    <row r="113" spans="1:10" ht="15" customHeight="1" x14ac:dyDescent="0.25">
      <c r="A113" s="1"/>
      <c r="B113" s="24"/>
      <c r="C113" s="228" t="s">
        <v>67</v>
      </c>
      <c r="D113" s="258"/>
      <c r="E113" s="258"/>
      <c r="F113" s="83"/>
      <c r="G113" s="83"/>
      <c r="H113" s="228"/>
      <c r="I113" s="228"/>
      <c r="J113" s="108"/>
    </row>
    <row r="114" spans="1:10" ht="12" customHeight="1" x14ac:dyDescent="0.25">
      <c r="A114" s="1"/>
      <c r="B114" s="95"/>
      <c r="C114" s="110"/>
      <c r="D114" s="115"/>
      <c r="E114" s="115"/>
      <c r="F114" s="115"/>
      <c r="G114" s="115"/>
      <c r="H114" s="115"/>
      <c r="I114" s="201"/>
      <c r="J114" s="116"/>
    </row>
    <row r="115" spans="1:10" ht="12" customHeight="1" x14ac:dyDescent="0.25">
      <c r="A115" s="1"/>
      <c r="B115" s="101"/>
      <c r="C115" s="1" t="s">
        <v>141</v>
      </c>
      <c r="D115" s="228"/>
      <c r="E115" s="228"/>
      <c r="F115" s="228"/>
      <c r="G115" s="228"/>
      <c r="H115" s="228"/>
      <c r="I115" s="101"/>
      <c r="J115" s="101" t="s">
        <v>141</v>
      </c>
    </row>
    <row r="116" spans="1:10" ht="14.25" customHeight="1" x14ac:dyDescent="0.25">
      <c r="A116" s="1"/>
      <c r="B116" s="101"/>
      <c r="C116" s="101" t="s">
        <v>141</v>
      </c>
      <c r="D116" s="101" t="s">
        <v>141</v>
      </c>
      <c r="E116" s="101"/>
      <c r="F116" s="101"/>
      <c r="G116" s="101"/>
      <c r="H116" s="101"/>
      <c r="I116" s="101"/>
      <c r="J116" s="101" t="s">
        <v>141</v>
      </c>
    </row>
    <row r="117" spans="1:10" ht="17.100000000000001" customHeight="1" x14ac:dyDescent="0.25">
      <c r="A117" s="218"/>
      <c r="B117" s="218"/>
      <c r="C117" s="219" t="s">
        <v>68</v>
      </c>
      <c r="D117" s="218"/>
      <c r="E117" s="218"/>
      <c r="F117" s="218"/>
      <c r="G117" s="218"/>
      <c r="H117" s="218"/>
      <c r="I117" s="218"/>
      <c r="J117" s="218"/>
    </row>
    <row r="118" spans="1:10" ht="3" customHeight="1" x14ac:dyDescent="0.25">
      <c r="A118" s="218"/>
      <c r="B118" s="218"/>
      <c r="C118" s="219"/>
      <c r="D118" s="218"/>
      <c r="E118" s="218"/>
      <c r="F118" s="218"/>
      <c r="G118" s="218"/>
      <c r="H118" s="218"/>
      <c r="I118" s="218"/>
      <c r="J118" s="218"/>
    </row>
    <row r="119" spans="1:10" ht="14.1" customHeight="1" x14ac:dyDescent="0.25">
      <c r="A119" s="1"/>
      <c r="B119" s="142"/>
      <c r="C119" s="159"/>
      <c r="D119" s="159"/>
      <c r="E119" s="159"/>
      <c r="F119" s="159"/>
      <c r="G119" s="159"/>
      <c r="H119" s="159"/>
      <c r="I119" s="159"/>
      <c r="J119" s="166"/>
    </row>
    <row r="120" spans="1:10" ht="15" customHeight="1" x14ac:dyDescent="0.25">
      <c r="A120" s="1"/>
      <c r="B120" s="54"/>
      <c r="C120" s="153" t="s">
        <v>2</v>
      </c>
      <c r="D120" s="189"/>
      <c r="E120" s="153" t="s">
        <v>3</v>
      </c>
      <c r="F120" s="189"/>
      <c r="G120" s="153" t="s">
        <v>4</v>
      </c>
      <c r="H120" s="189"/>
      <c r="I120" s="183"/>
      <c r="J120" s="244"/>
    </row>
    <row r="121" spans="1:10" ht="14.1" customHeight="1" x14ac:dyDescent="0.25">
      <c r="A121" s="1"/>
      <c r="B121" s="254"/>
      <c r="C121" s="118" t="s">
        <v>7</v>
      </c>
      <c r="D121" s="120">
        <v>182657</v>
      </c>
      <c r="E121" s="103" t="s">
        <v>5</v>
      </c>
      <c r="F121" s="117">
        <v>66192</v>
      </c>
      <c r="G121" s="118" t="s">
        <v>6</v>
      </c>
      <c r="H121" s="117">
        <v>7478</v>
      </c>
      <c r="I121" s="183"/>
      <c r="J121" s="244"/>
    </row>
    <row r="122" spans="1:10" ht="14.1" customHeight="1" x14ac:dyDescent="0.25">
      <c r="A122" s="1"/>
      <c r="B122" s="254"/>
      <c r="C122" s="118" t="s">
        <v>10</v>
      </c>
      <c r="D122" s="120">
        <v>12705</v>
      </c>
      <c r="E122" s="118" t="s">
        <v>8</v>
      </c>
      <c r="F122" s="120">
        <v>67980</v>
      </c>
      <c r="G122" s="118" t="s">
        <v>9</v>
      </c>
      <c r="H122" s="120">
        <v>50985</v>
      </c>
      <c r="I122" s="183"/>
      <c r="J122" s="244"/>
    </row>
    <row r="123" spans="1:10" ht="14.1" customHeight="1" x14ac:dyDescent="0.25">
      <c r="A123" s="1"/>
      <c r="B123" s="254"/>
      <c r="C123" s="248" t="s">
        <v>69</v>
      </c>
      <c r="D123" s="120">
        <v>1850</v>
      </c>
      <c r="E123" s="118" t="s">
        <v>70</v>
      </c>
      <c r="F123" s="120">
        <v>44724</v>
      </c>
      <c r="G123" s="118" t="s">
        <v>12</v>
      </c>
      <c r="H123" s="120">
        <v>9517</v>
      </c>
      <c r="I123" s="183"/>
      <c r="J123" s="244"/>
    </row>
    <row r="124" spans="1:10" ht="14.1" customHeight="1" x14ac:dyDescent="0.25">
      <c r="A124" s="1"/>
      <c r="B124" s="158"/>
      <c r="C124" s="170"/>
      <c r="D124" s="195"/>
      <c r="E124" s="195" t="s">
        <v>71</v>
      </c>
      <c r="F124" s="120">
        <v>3761</v>
      </c>
      <c r="G124" s="118"/>
      <c r="H124" s="170"/>
      <c r="I124" s="183"/>
      <c r="J124" s="244"/>
    </row>
    <row r="125" spans="1:10" ht="12" customHeight="1" x14ac:dyDescent="0.25">
      <c r="A125" s="1"/>
      <c r="B125" s="254"/>
      <c r="C125" s="182" t="s">
        <v>57</v>
      </c>
      <c r="D125" s="194">
        <v>197212</v>
      </c>
      <c r="E125" s="112" t="s">
        <v>16</v>
      </c>
      <c r="F125" s="194">
        <v>182657</v>
      </c>
      <c r="G125" s="182" t="s">
        <v>8</v>
      </c>
      <c r="H125" s="35">
        <v>67980</v>
      </c>
      <c r="I125" s="183"/>
      <c r="J125" s="244"/>
    </row>
    <row r="126" spans="1:10" ht="12" customHeight="1" x14ac:dyDescent="0.25">
      <c r="A126" s="101"/>
      <c r="B126" s="24"/>
      <c r="C126" s="101" t="s">
        <v>72</v>
      </c>
      <c r="D126" s="101"/>
      <c r="E126" s="101"/>
      <c r="F126" s="101"/>
      <c r="G126" s="101"/>
      <c r="H126" s="101"/>
      <c r="I126" s="101"/>
      <c r="J126" s="157"/>
    </row>
    <row r="127" spans="1:10" ht="17.100000000000001" customHeight="1" x14ac:dyDescent="0.25">
      <c r="A127" s="1"/>
      <c r="B127" s="241"/>
      <c r="C127" s="272"/>
      <c r="D127" s="272"/>
      <c r="E127" s="233"/>
      <c r="F127" s="233"/>
      <c r="G127" s="233"/>
      <c r="H127" s="233"/>
      <c r="I127" s="233"/>
      <c r="J127" s="245"/>
    </row>
    <row r="128" spans="1:10" ht="25.5" customHeight="1" x14ac:dyDescent="0.25">
      <c r="A128" s="1"/>
      <c r="B128" s="254"/>
      <c r="C128" s="18" t="str">
        <f>C20</f>
        <v>KVOTE- OG FANGSTOVERSIKT</v>
      </c>
      <c r="D128" s="1"/>
      <c r="E128" s="1"/>
      <c r="F128" s="1"/>
      <c r="G128" s="1"/>
      <c r="H128" s="1"/>
      <c r="I128" s="1"/>
      <c r="J128" s="123"/>
    </row>
    <row r="129" spans="1:10" ht="53.25" customHeight="1" x14ac:dyDescent="0.25">
      <c r="A129" s="161"/>
      <c r="B129" s="54"/>
      <c r="C129" s="264" t="s">
        <v>19</v>
      </c>
      <c r="D129" s="15" t="s">
        <v>20</v>
      </c>
      <c r="E129" s="15" t="s">
        <v>73</v>
      </c>
      <c r="F129" s="15" t="s">
        <v>142</v>
      </c>
      <c r="G129" s="15" t="s">
        <v>143</v>
      </c>
      <c r="H129" s="15" t="s">
        <v>144</v>
      </c>
      <c r="I129" s="15" t="s">
        <v>145</v>
      </c>
      <c r="J129" s="280"/>
    </row>
    <row r="130" spans="1:10" ht="14.1" customHeight="1" x14ac:dyDescent="0.25">
      <c r="A130" s="1"/>
      <c r="B130" s="254"/>
      <c r="C130" s="16" t="s">
        <v>74</v>
      </c>
      <c r="D130" s="28">
        <f t="shared" ref="D130:I130" si="10">D131+D132+D133</f>
        <v>66192</v>
      </c>
      <c r="E130" s="28">
        <f t="shared" si="10"/>
        <v>62183</v>
      </c>
      <c r="F130" s="11">
        <f t="shared" si="10"/>
        <v>1016.58645</v>
      </c>
      <c r="G130" s="11">
        <f t="shared" si="10"/>
        <v>60649.450940000002</v>
      </c>
      <c r="H130" s="11">
        <f t="shared" si="10"/>
        <v>1533.5490599999976</v>
      </c>
      <c r="I130" s="11">
        <f t="shared" si="10"/>
        <v>57022.245790000001</v>
      </c>
      <c r="J130" s="244"/>
    </row>
    <row r="131" spans="1:10" ht="14.1" customHeight="1" x14ac:dyDescent="0.25">
      <c r="A131" s="1"/>
      <c r="B131" s="254"/>
      <c r="C131" s="47" t="s">
        <v>23</v>
      </c>
      <c r="D131" s="48">
        <v>52954</v>
      </c>
      <c r="E131" s="48">
        <v>49665</v>
      </c>
      <c r="F131" s="23">
        <f>660.68595</f>
        <v>660.68595000000005</v>
      </c>
      <c r="G131" s="23">
        <f>51403.85848</f>
        <v>51403.858480000003</v>
      </c>
      <c r="H131" s="23">
        <f>E131-G131</f>
        <v>-1738.8584800000026</v>
      </c>
      <c r="I131" s="23">
        <f>49428.36012</f>
        <v>49428.360119999998</v>
      </c>
      <c r="J131" s="244"/>
    </row>
    <row r="132" spans="1:10" ht="15" customHeight="1" x14ac:dyDescent="0.25">
      <c r="A132" s="1"/>
      <c r="B132" s="254"/>
      <c r="C132" s="47" t="s">
        <v>24</v>
      </c>
      <c r="D132" s="48">
        <v>12738</v>
      </c>
      <c r="E132" s="48">
        <v>12018</v>
      </c>
      <c r="F132" s="23">
        <f>355.9005</f>
        <v>355.90050000000002</v>
      </c>
      <c r="G132" s="23">
        <f>9245.59246</f>
        <v>9245.5924599999998</v>
      </c>
      <c r="H132" s="23">
        <f>E132-G132</f>
        <v>2772.4075400000002</v>
      </c>
      <c r="I132" s="23">
        <f>7593.88567</f>
        <v>7593.8856699999997</v>
      </c>
      <c r="J132" s="244"/>
    </row>
    <row r="133" spans="1:10" ht="13.5" customHeight="1" x14ac:dyDescent="0.25">
      <c r="A133" s="1"/>
      <c r="B133" s="254"/>
      <c r="C133" s="50" t="s">
        <v>75</v>
      </c>
      <c r="D133" s="33">
        <v>500</v>
      </c>
      <c r="E133" s="33">
        <v>500</v>
      </c>
      <c r="F133" s="58"/>
      <c r="G133" s="58"/>
      <c r="H133" s="58">
        <f>E133-G133</f>
        <v>500</v>
      </c>
      <c r="I133" s="58"/>
      <c r="J133" s="244"/>
    </row>
    <row r="134" spans="1:10" ht="14.25" customHeight="1" x14ac:dyDescent="0.25">
      <c r="A134" s="70"/>
      <c r="B134" s="82"/>
      <c r="C134" s="92" t="s">
        <v>76</v>
      </c>
      <c r="D134" s="94">
        <v>44724</v>
      </c>
      <c r="E134" s="94">
        <v>49007</v>
      </c>
      <c r="F134" s="98">
        <f>13.173</f>
        <v>13.173</v>
      </c>
      <c r="G134" s="98">
        <f>39053.70848+9245.57509</f>
        <v>48299.28357</v>
      </c>
      <c r="H134" s="98">
        <f>E134-G134</f>
        <v>707.7164300000004</v>
      </c>
      <c r="I134" s="98">
        <f>29722.35007</f>
        <v>29722.35007</v>
      </c>
      <c r="J134" s="119"/>
    </row>
    <row r="135" spans="1:10" ht="15.75" customHeight="1" x14ac:dyDescent="0.25">
      <c r="A135" s="1"/>
      <c r="B135" s="254"/>
      <c r="C135" s="147" t="s">
        <v>25</v>
      </c>
      <c r="D135" s="148">
        <f>D136+D141+D144</f>
        <v>69292</v>
      </c>
      <c r="E135" s="148">
        <f>E136+E141+E144</f>
        <v>69774</v>
      </c>
      <c r="F135" s="97">
        <f>F136+F141+F144</f>
        <v>1264.7336100000002</v>
      </c>
      <c r="G135" s="97">
        <f t="shared" ref="G135" si="11">G136+G141+G144</f>
        <v>61391.242969999999</v>
      </c>
      <c r="H135" s="97">
        <f>H136+H141+H144</f>
        <v>8382.7570299999988</v>
      </c>
      <c r="I135" s="97">
        <f>I136+I141+I144</f>
        <v>66425.942289999992</v>
      </c>
      <c r="J135" s="123"/>
    </row>
    <row r="136" spans="1:10" ht="14.1" customHeight="1" x14ac:dyDescent="0.25">
      <c r="A136" s="1"/>
      <c r="B136" s="54"/>
      <c r="C136" s="125" t="s">
        <v>77</v>
      </c>
      <c r="D136" s="126">
        <f>D137+D138+D139+D140</f>
        <v>52297</v>
      </c>
      <c r="E136" s="126">
        <f>E137+E138+E139+E140</f>
        <v>51985</v>
      </c>
      <c r="F136" s="128">
        <f>F137+F138+F139+F140</f>
        <v>1034.1641300000001</v>
      </c>
      <c r="G136" s="128">
        <f>G137+G138+G140+G139</f>
        <v>47128.403620000005</v>
      </c>
      <c r="H136" s="128">
        <f>H137+H138+H139+H140</f>
        <v>4856.596379999999</v>
      </c>
      <c r="I136" s="128">
        <f>I137+I138+I139+I140</f>
        <v>53068.993839999996</v>
      </c>
      <c r="J136" s="280"/>
    </row>
    <row r="137" spans="1:10" ht="14.1" customHeight="1" x14ac:dyDescent="0.25">
      <c r="A137" s="202"/>
      <c r="B137" s="129"/>
      <c r="C137" s="64" t="s">
        <v>27</v>
      </c>
      <c r="D137" s="65">
        <v>13881</v>
      </c>
      <c r="E137" s="65">
        <v>15307</v>
      </c>
      <c r="F137" s="130">
        <f>312.08875</f>
        <v>312.08875</v>
      </c>
      <c r="G137" s="130">
        <v>9932.04306</v>
      </c>
      <c r="H137" s="130">
        <f>E137-G137</f>
        <v>5374.95694</v>
      </c>
      <c r="I137" s="130">
        <f>9867.26503</f>
        <v>9867.2650300000005</v>
      </c>
      <c r="J137" s="131"/>
    </row>
    <row r="138" spans="1:10" ht="14.1" customHeight="1" x14ac:dyDescent="0.25">
      <c r="A138" s="202"/>
      <c r="B138" s="186"/>
      <c r="C138" s="64" t="s">
        <v>60</v>
      </c>
      <c r="D138" s="65">
        <v>14224</v>
      </c>
      <c r="E138" s="65">
        <v>12859</v>
      </c>
      <c r="F138" s="130">
        <f>375.61908</f>
        <v>375.61908</v>
      </c>
      <c r="G138" s="130">
        <v>13649.46127</v>
      </c>
      <c r="H138" s="130">
        <f>E138-G138</f>
        <v>-790.46126999999979</v>
      </c>
      <c r="I138" s="130">
        <f>13472.55858</f>
        <v>13472.558580000001</v>
      </c>
      <c r="J138" s="132"/>
    </row>
    <row r="139" spans="1:10" ht="14.1" customHeight="1" x14ac:dyDescent="0.25">
      <c r="A139" s="202"/>
      <c r="B139" s="186"/>
      <c r="C139" s="64" t="s">
        <v>61</v>
      </c>
      <c r="D139" s="65">
        <v>12986</v>
      </c>
      <c r="E139" s="65">
        <v>13695</v>
      </c>
      <c r="F139" s="130">
        <f>204.3477</f>
        <v>204.3477</v>
      </c>
      <c r="G139" s="130">
        <v>11527.165129999999</v>
      </c>
      <c r="H139" s="130">
        <f>E139-G139</f>
        <v>2167.8348700000006</v>
      </c>
      <c r="I139" s="130">
        <f>14175.52626</f>
        <v>14175.526260000001</v>
      </c>
      <c r="J139" s="132"/>
    </row>
    <row r="140" spans="1:10" ht="14.1" customHeight="1" x14ac:dyDescent="0.25">
      <c r="A140" s="202"/>
      <c r="B140" s="186"/>
      <c r="C140" s="64" t="s">
        <v>30</v>
      </c>
      <c r="D140" s="65">
        <v>11206</v>
      </c>
      <c r="E140" s="65">
        <v>10124</v>
      </c>
      <c r="F140" s="130">
        <f>142.1086</f>
        <v>142.1086</v>
      </c>
      <c r="G140" s="130">
        <v>12019.734160000002</v>
      </c>
      <c r="H140" s="130">
        <f>E140-G140</f>
        <v>-1895.7341600000018</v>
      </c>
      <c r="I140" s="130">
        <f>15553.64397</f>
        <v>15553.643969999999</v>
      </c>
      <c r="J140" s="132"/>
    </row>
    <row r="141" spans="1:10" ht="14.1" customHeight="1" x14ac:dyDescent="0.25">
      <c r="A141" s="69"/>
      <c r="B141" s="55"/>
      <c r="C141" s="59" t="s">
        <v>32</v>
      </c>
      <c r="D141" s="60">
        <f>D143+D142</f>
        <v>7478</v>
      </c>
      <c r="E141" s="60">
        <f>E143+E142</f>
        <v>8254</v>
      </c>
      <c r="F141" s="136">
        <v>9.9076500000000003</v>
      </c>
      <c r="G141" s="136">
        <v>6008.6120300000002</v>
      </c>
      <c r="H141" s="136">
        <f>H142+H143</f>
        <v>2245.3879699999998</v>
      </c>
      <c r="I141" s="136">
        <v>5379.1511899999996</v>
      </c>
      <c r="J141" s="137"/>
    </row>
    <row r="142" spans="1:10" ht="14.1" customHeight="1" x14ac:dyDescent="0.25">
      <c r="A142" s="1"/>
      <c r="B142" s="254"/>
      <c r="C142" s="64" t="s">
        <v>78</v>
      </c>
      <c r="D142" s="65">
        <v>6978</v>
      </c>
      <c r="E142" s="65">
        <v>7754</v>
      </c>
      <c r="F142" s="130">
        <v>9.9076500000000003</v>
      </c>
      <c r="G142" s="130">
        <v>5867.1894400000001</v>
      </c>
      <c r="H142" s="130">
        <f t="shared" ref="H142:H150" si="12">E142-G142</f>
        <v>1886.8105599999999</v>
      </c>
      <c r="I142" s="130">
        <v>5324.01343</v>
      </c>
      <c r="J142" s="123"/>
    </row>
    <row r="143" spans="1:10" ht="15" customHeight="1" x14ac:dyDescent="0.25">
      <c r="A143" s="1"/>
      <c r="B143" s="55"/>
      <c r="C143" s="64" t="s">
        <v>79</v>
      </c>
      <c r="D143" s="65">
        <v>500</v>
      </c>
      <c r="E143" s="65">
        <v>500</v>
      </c>
      <c r="F143" s="130"/>
      <c r="G143" s="130">
        <f>G141-G142</f>
        <v>141.42259000000013</v>
      </c>
      <c r="H143" s="130">
        <f t="shared" si="12"/>
        <v>358.57740999999987</v>
      </c>
      <c r="I143" s="130">
        <f>I141-I142</f>
        <v>55.137759999999616</v>
      </c>
      <c r="J143" s="138"/>
    </row>
    <row r="144" spans="1:10" ht="15.75" customHeight="1" x14ac:dyDescent="0.25">
      <c r="A144" s="1"/>
      <c r="B144" s="254"/>
      <c r="C144" s="38" t="s">
        <v>12</v>
      </c>
      <c r="D144" s="63">
        <v>9517</v>
      </c>
      <c r="E144" s="63">
        <v>9535</v>
      </c>
      <c r="F144" s="78">
        <f>220.66183</f>
        <v>220.66183000000001</v>
      </c>
      <c r="G144" s="78">
        <f>8254.22732</f>
        <v>8254.22732</v>
      </c>
      <c r="H144" s="78">
        <f t="shared" si="12"/>
        <v>1280.77268</v>
      </c>
      <c r="I144" s="78">
        <f>7977.79726</f>
        <v>7977.7972600000003</v>
      </c>
      <c r="J144" s="123"/>
    </row>
    <row r="145" spans="1:10" ht="15.75" customHeight="1" x14ac:dyDescent="0.25">
      <c r="A145" s="1"/>
      <c r="B145" s="254"/>
      <c r="C145" s="147" t="s">
        <v>37</v>
      </c>
      <c r="D145" s="148">
        <v>142</v>
      </c>
      <c r="E145" s="148">
        <v>142</v>
      </c>
      <c r="F145" s="143">
        <f>0</f>
        <v>0</v>
      </c>
      <c r="G145" s="143">
        <f>28.12597</f>
        <v>28.125969999999999</v>
      </c>
      <c r="H145" s="143">
        <f t="shared" si="12"/>
        <v>113.87403</v>
      </c>
      <c r="I145" s="143">
        <f>22.04856</f>
        <v>22.048559999999998</v>
      </c>
      <c r="J145" s="123"/>
    </row>
    <row r="146" spans="1:10" ht="15.75" customHeight="1" x14ac:dyDescent="0.25">
      <c r="A146" s="1"/>
      <c r="B146" s="254"/>
      <c r="C146" s="144" t="s">
        <v>80</v>
      </c>
      <c r="D146" s="93">
        <v>250</v>
      </c>
      <c r="E146" s="93">
        <v>250</v>
      </c>
      <c r="F146" s="102">
        <f>0</f>
        <v>0</v>
      </c>
      <c r="G146" s="102">
        <f>307.078</f>
        <v>307.07799999999997</v>
      </c>
      <c r="H146" s="102">
        <f t="shared" si="12"/>
        <v>-57.077999999999975</v>
      </c>
      <c r="I146" s="102">
        <f>252.609</f>
        <v>252.60900000000001</v>
      </c>
      <c r="J146" s="123"/>
    </row>
    <row r="147" spans="1:10" ht="18" customHeight="1" x14ac:dyDescent="0.25">
      <c r="A147" s="1"/>
      <c r="B147" s="254"/>
      <c r="C147" s="144" t="s">
        <v>81</v>
      </c>
      <c r="D147" s="148">
        <v>2000</v>
      </c>
      <c r="E147" s="148">
        <v>2000</v>
      </c>
      <c r="F147" s="143">
        <f>6.51684</f>
        <v>6.5168400000000002</v>
      </c>
      <c r="G147" s="143">
        <v>2000</v>
      </c>
      <c r="H147" s="143">
        <f t="shared" si="12"/>
        <v>0</v>
      </c>
      <c r="I147" s="143">
        <v>2000</v>
      </c>
      <c r="J147" s="244"/>
    </row>
    <row r="148" spans="1:10" ht="15.75" customHeight="1" x14ac:dyDescent="0.25">
      <c r="A148" s="1"/>
      <c r="B148" s="254"/>
      <c r="C148" s="147" t="s">
        <v>40</v>
      </c>
      <c r="D148" s="148"/>
      <c r="E148" s="148"/>
      <c r="F148" s="143">
        <v>0</v>
      </c>
      <c r="G148" s="143">
        <v>0</v>
      </c>
      <c r="H148" s="143">
        <f t="shared" si="12"/>
        <v>0</v>
      </c>
      <c r="I148" s="143"/>
      <c r="J148" s="123"/>
    </row>
    <row r="149" spans="1:10" ht="15.75" customHeight="1" x14ac:dyDescent="0.25">
      <c r="A149" s="1"/>
      <c r="B149" s="254"/>
      <c r="C149" s="147" t="s">
        <v>82</v>
      </c>
      <c r="D149" s="148">
        <v>57</v>
      </c>
      <c r="E149" s="148">
        <v>57</v>
      </c>
      <c r="F149" s="143"/>
      <c r="G149" s="143"/>
      <c r="H149" s="143">
        <f t="shared" si="12"/>
        <v>57</v>
      </c>
      <c r="I149" s="143"/>
      <c r="J149" s="123"/>
    </row>
    <row r="150" spans="1:10" ht="15" customHeight="1" x14ac:dyDescent="0.25">
      <c r="A150" s="1"/>
      <c r="B150" s="254"/>
      <c r="C150" s="147" t="s">
        <v>43</v>
      </c>
      <c r="D150" s="150"/>
      <c r="E150" s="148"/>
      <c r="F150" s="143">
        <v>0.8819999999996071</v>
      </c>
      <c r="G150" s="143">
        <v>427.82679999998072</v>
      </c>
      <c r="H150" s="143">
        <f t="shared" si="12"/>
        <v>-427.82679999998072</v>
      </c>
      <c r="I150" s="143">
        <v>433.18270000000484</v>
      </c>
      <c r="J150" s="123"/>
    </row>
    <row r="151" spans="1:10" ht="0" hidden="1" customHeight="1" x14ac:dyDescent="0.25">
      <c r="C151" s="152"/>
      <c r="D151" s="154"/>
      <c r="E151" s="155"/>
      <c r="F151" s="154"/>
      <c r="G151" s="154"/>
      <c r="H151" s="154"/>
      <c r="I151" s="160"/>
    </row>
    <row r="152" spans="1:10" ht="14.25" customHeight="1" x14ac:dyDescent="0.25">
      <c r="A152" s="161"/>
      <c r="B152" s="54"/>
      <c r="C152" s="162" t="s">
        <v>44</v>
      </c>
      <c r="D152" s="80">
        <f t="shared" ref="D152:E152" si="13">D130+D134+D135+D145+D146+D147+D148+D149+D150</f>
        <v>182657</v>
      </c>
      <c r="E152" s="80">
        <f t="shared" si="13"/>
        <v>183413</v>
      </c>
      <c r="F152" s="80">
        <f>F130+F134+F135+F145+F146+F147+F148+F149+F150</f>
        <v>2301.8918999999996</v>
      </c>
      <c r="G152" s="80">
        <f>G130+G134+G135+G145+G146+G147+G148+G149+G150</f>
        <v>173103.00824999998</v>
      </c>
      <c r="H152" s="80">
        <f>H130+H134+H135+H145+H146+H147+H148+H149+H150</f>
        <v>10309.991750000017</v>
      </c>
      <c r="I152" s="80">
        <f>I130+I134+I135+I145+I146+I147+I148+I149+I150</f>
        <v>155878.37840999998</v>
      </c>
      <c r="J152" s="164"/>
    </row>
    <row r="153" spans="1:10" ht="14.25" customHeight="1" x14ac:dyDescent="0.25">
      <c r="A153" s="161"/>
      <c r="B153" s="54"/>
      <c r="C153" s="165" t="s">
        <v>83</v>
      </c>
      <c r="D153" s="122"/>
      <c r="E153" s="122"/>
      <c r="F153" s="122"/>
      <c r="G153" s="122"/>
      <c r="H153" s="167"/>
      <c r="I153" s="167"/>
      <c r="J153" s="164"/>
    </row>
    <row r="154" spans="1:10" ht="14.25" customHeight="1" x14ac:dyDescent="0.25">
      <c r="A154" s="161"/>
      <c r="B154" s="54"/>
      <c r="C154" s="101" t="s">
        <v>84</v>
      </c>
      <c r="D154" s="122"/>
      <c r="E154" s="122"/>
      <c r="F154" s="122"/>
      <c r="G154" s="122"/>
      <c r="H154" s="167"/>
      <c r="I154" s="161"/>
      <c r="J154" s="280"/>
    </row>
    <row r="155" spans="1:10" ht="14.25" customHeight="1" x14ac:dyDescent="0.25">
      <c r="A155" s="161"/>
      <c r="B155" s="54"/>
      <c r="C155" s="165" t="s">
        <v>149</v>
      </c>
      <c r="D155" s="122"/>
      <c r="E155" s="122"/>
      <c r="F155" s="122"/>
      <c r="G155" s="122"/>
      <c r="H155" s="167"/>
      <c r="I155" s="161"/>
      <c r="J155" s="280"/>
    </row>
    <row r="156" spans="1:10" ht="14.25" customHeight="1" x14ac:dyDescent="0.25">
      <c r="A156" s="161"/>
      <c r="B156" s="54"/>
      <c r="C156" s="292" t="s">
        <v>148</v>
      </c>
      <c r="D156" s="122"/>
      <c r="E156" s="122"/>
      <c r="F156" s="122"/>
      <c r="G156" s="122"/>
      <c r="H156" s="167"/>
      <c r="I156" s="167"/>
      <c r="J156" s="280"/>
    </row>
    <row r="157" spans="1:10" ht="15.75" customHeight="1" x14ac:dyDescent="0.25">
      <c r="A157" s="161"/>
      <c r="B157" s="54"/>
      <c r="C157" s="165" t="s">
        <v>85</v>
      </c>
      <c r="D157" s="122"/>
      <c r="E157" s="122"/>
      <c r="F157" s="122"/>
      <c r="G157" s="122"/>
      <c r="H157" s="167"/>
      <c r="I157" s="167"/>
      <c r="J157" s="280"/>
    </row>
    <row r="158" spans="1:10" ht="15.75" customHeight="1" x14ac:dyDescent="0.25">
      <c r="A158" s="161"/>
      <c r="B158" s="54"/>
      <c r="C158" s="81" t="s">
        <v>86</v>
      </c>
      <c r="D158" s="122"/>
      <c r="E158" s="122"/>
      <c r="F158" s="122"/>
      <c r="G158" s="122"/>
      <c r="H158" s="167"/>
      <c r="I158" s="167"/>
      <c r="J158" s="280"/>
    </row>
    <row r="159" spans="1:10" ht="12" customHeight="1" x14ac:dyDescent="0.25">
      <c r="A159" s="1"/>
      <c r="B159" s="169"/>
      <c r="C159" s="110"/>
      <c r="D159" s="172"/>
      <c r="E159" s="172"/>
      <c r="F159" s="172"/>
      <c r="G159" s="172"/>
      <c r="H159" s="110"/>
      <c r="I159" s="110"/>
      <c r="J159" s="121"/>
    </row>
    <row r="160" spans="1:10" ht="12" customHeight="1" x14ac:dyDescent="0.25">
      <c r="A160" s="1"/>
      <c r="B160" s="1"/>
      <c r="C160" s="202"/>
      <c r="D160" s="174"/>
      <c r="E160" s="174"/>
      <c r="F160" s="174"/>
      <c r="G160" s="174"/>
      <c r="H160" s="1"/>
      <c r="I160" s="1"/>
      <c r="J160" s="1"/>
    </row>
    <row r="161" spans="1:10" x14ac:dyDescent="0.25">
      <c r="A161" s="1"/>
      <c r="B161" s="1"/>
      <c r="C161" s="202"/>
      <c r="D161" s="174"/>
      <c r="E161" s="174"/>
      <c r="F161" s="174"/>
      <c r="G161" s="174"/>
      <c r="H161" s="1"/>
      <c r="I161" s="1"/>
      <c r="J161" s="1"/>
    </row>
    <row r="162" spans="1:10" x14ac:dyDescent="0.25">
      <c r="A162" s="1"/>
      <c r="B162" s="1"/>
      <c r="C162" s="202"/>
      <c r="D162" s="174"/>
      <c r="E162" s="174"/>
      <c r="F162" s="174"/>
      <c r="G162" s="174"/>
      <c r="H162" s="1"/>
      <c r="I162" s="1"/>
      <c r="J162" s="1"/>
    </row>
    <row r="163" spans="1:10" x14ac:dyDescent="0.25">
      <c r="A163" s="1"/>
      <c r="B163" s="1"/>
      <c r="C163" s="202"/>
      <c r="D163" s="174"/>
      <c r="E163" s="174"/>
      <c r="F163" s="174"/>
      <c r="G163" s="174"/>
      <c r="H163" s="1"/>
      <c r="I163" s="1"/>
      <c r="J163" s="1"/>
    </row>
    <row r="164" spans="1:10" ht="21" customHeight="1" x14ac:dyDescent="0.25">
      <c r="A164" s="1" t="s">
        <v>141</v>
      </c>
      <c r="B164" s="2"/>
      <c r="C164" s="219" t="s">
        <v>87</v>
      </c>
      <c r="D164" s="2"/>
      <c r="E164" s="2"/>
      <c r="F164" s="2"/>
      <c r="G164" s="2"/>
      <c r="H164" s="2"/>
      <c r="I164" s="2"/>
      <c r="J164" s="2"/>
    </row>
    <row r="165" spans="1:10" ht="6" customHeight="1" x14ac:dyDescent="0.25">
      <c r="A165" s="1"/>
      <c r="B165" s="2"/>
      <c r="C165" s="219"/>
      <c r="D165" s="2"/>
      <c r="E165" s="2"/>
      <c r="F165" s="2"/>
      <c r="G165" s="2"/>
      <c r="H165" s="2"/>
      <c r="I165" s="2"/>
      <c r="J165" s="2"/>
    </row>
    <row r="166" spans="1:10" ht="12" customHeight="1" x14ac:dyDescent="0.25">
      <c r="A166" s="1" t="s">
        <v>141</v>
      </c>
      <c r="B166" s="139"/>
      <c r="C166" s="178"/>
      <c r="D166" s="178"/>
      <c r="E166" s="178"/>
      <c r="F166" s="178"/>
      <c r="G166" s="178"/>
      <c r="H166" s="178"/>
      <c r="I166" s="178"/>
      <c r="J166" s="181"/>
    </row>
    <row r="167" spans="1:10" ht="14.1" customHeight="1" x14ac:dyDescent="0.25">
      <c r="A167" s="1" t="s">
        <v>141</v>
      </c>
      <c r="B167" s="254"/>
      <c r="C167" s="153" t="s">
        <v>2</v>
      </c>
      <c r="D167" s="189"/>
      <c r="E167" s="281"/>
      <c r="F167" s="281"/>
      <c r="G167" s="281"/>
      <c r="H167" s="1"/>
      <c r="I167" s="1"/>
      <c r="J167" s="123"/>
    </row>
    <row r="168" spans="1:10" ht="14.1" customHeight="1" x14ac:dyDescent="0.25">
      <c r="A168" s="1"/>
      <c r="B168" s="254"/>
      <c r="C168" s="182" t="s">
        <v>7</v>
      </c>
      <c r="D168" s="194">
        <v>12975</v>
      </c>
      <c r="E168" s="281"/>
      <c r="F168" s="281"/>
      <c r="G168" s="281"/>
      <c r="H168" s="1"/>
      <c r="I168" s="1"/>
      <c r="J168" s="123"/>
    </row>
    <row r="169" spans="1:10" ht="14.1" customHeight="1" x14ac:dyDescent="0.25">
      <c r="A169" s="1"/>
      <c r="B169" s="254"/>
      <c r="C169" s="182" t="s">
        <v>10</v>
      </c>
      <c r="D169" s="194">
        <v>11085</v>
      </c>
      <c r="E169" s="281"/>
      <c r="F169" s="281"/>
      <c r="G169" s="235"/>
      <c r="H169" s="1"/>
      <c r="I169" s="1"/>
      <c r="J169" s="123"/>
    </row>
    <row r="170" spans="1:10" ht="14.1" customHeight="1" x14ac:dyDescent="0.25">
      <c r="A170" s="1"/>
      <c r="B170" s="254"/>
      <c r="C170" s="182" t="s">
        <v>88</v>
      </c>
      <c r="D170" s="194">
        <v>940</v>
      </c>
      <c r="E170" s="281"/>
      <c r="F170" s="281"/>
      <c r="G170" s="281"/>
      <c r="H170" s="1"/>
      <c r="I170" s="1"/>
      <c r="J170" s="123"/>
    </row>
    <row r="171" spans="1:10" ht="14.1" customHeight="1" x14ac:dyDescent="0.25">
      <c r="A171" s="1"/>
      <c r="B171" s="254"/>
      <c r="C171" s="182" t="s">
        <v>57</v>
      </c>
      <c r="D171" s="194">
        <v>25000</v>
      </c>
      <c r="E171" s="281"/>
      <c r="F171" s="281"/>
      <c r="G171" s="281"/>
      <c r="H171" s="1"/>
      <c r="I171" s="1"/>
      <c r="J171" s="123"/>
    </row>
    <row r="172" spans="1:10" ht="14.1" customHeight="1" x14ac:dyDescent="0.25">
      <c r="A172" s="1"/>
      <c r="B172" s="254"/>
      <c r="C172" s="1"/>
      <c r="D172" s="49"/>
      <c r="E172" s="281"/>
      <c r="F172" s="281"/>
      <c r="G172" s="281"/>
      <c r="H172" s="1"/>
      <c r="I172" s="1"/>
      <c r="J172" s="123"/>
    </row>
    <row r="173" spans="1:10" ht="3.75" customHeight="1" x14ac:dyDescent="0.25">
      <c r="A173" s="1"/>
      <c r="B173" s="241"/>
      <c r="C173" s="163"/>
      <c r="D173" s="163"/>
      <c r="E173" s="267"/>
      <c r="F173" s="267"/>
      <c r="G173" s="267"/>
      <c r="H173" s="233"/>
      <c r="I173" s="233"/>
      <c r="J173" s="245"/>
    </row>
    <row r="174" spans="1:10" ht="24.75" customHeight="1" x14ac:dyDescent="0.25">
      <c r="A174" s="1"/>
      <c r="B174" s="254"/>
      <c r="C174" s="18" t="s">
        <v>18</v>
      </c>
      <c r="D174" s="183"/>
      <c r="E174" s="174"/>
      <c r="F174" s="174"/>
      <c r="G174" s="174"/>
      <c r="H174" s="1"/>
      <c r="I174" s="1"/>
      <c r="J174" s="123"/>
    </row>
    <row r="175" spans="1:10" ht="15.75" customHeight="1" x14ac:dyDescent="0.25">
      <c r="A175" s="1"/>
      <c r="B175" s="203"/>
      <c r="C175" s="224"/>
      <c r="D175" s="224"/>
      <c r="E175" s="224"/>
      <c r="F175" s="224"/>
      <c r="G175" s="224"/>
      <c r="H175" s="224"/>
      <c r="I175" s="224"/>
      <c r="J175" s="13"/>
    </row>
    <row r="176" spans="1:10" ht="61.5" customHeight="1" x14ac:dyDescent="0.25">
      <c r="A176" s="161"/>
      <c r="B176" s="54"/>
      <c r="C176" s="15" t="s">
        <v>19</v>
      </c>
      <c r="D176" s="180" t="s">
        <v>3</v>
      </c>
      <c r="E176" s="15" t="s">
        <v>142</v>
      </c>
      <c r="F176" s="15" t="s">
        <v>143</v>
      </c>
      <c r="G176" s="56" t="s">
        <v>144</v>
      </c>
      <c r="H176" s="15" t="s">
        <v>145</v>
      </c>
      <c r="I176" s="161"/>
      <c r="J176" s="280"/>
    </row>
    <row r="177" spans="1:10" ht="14.1" customHeight="1" x14ac:dyDescent="0.25">
      <c r="A177" s="1"/>
      <c r="B177" s="254"/>
      <c r="C177" s="145" t="s">
        <v>89</v>
      </c>
      <c r="D177" s="97">
        <v>5082</v>
      </c>
      <c r="E177" s="276">
        <f>7.68478</f>
        <v>7.6847799999999999</v>
      </c>
      <c r="F177" s="276">
        <f>2347.12987</f>
        <v>2347.1298700000002</v>
      </c>
      <c r="G177" s="45">
        <f>D177-F177-F178</f>
        <v>991.8445999999999</v>
      </c>
      <c r="H177" s="276">
        <f>2100.94745</f>
        <v>2100.9474500000001</v>
      </c>
      <c r="I177" s="1"/>
      <c r="J177" s="123"/>
    </row>
    <row r="178" spans="1:10" ht="14.1" customHeight="1" x14ac:dyDescent="0.25">
      <c r="A178" s="1"/>
      <c r="B178" s="254"/>
      <c r="C178" s="141" t="s">
        <v>62</v>
      </c>
      <c r="D178" s="185"/>
      <c r="E178" s="156">
        <f>0.22192</f>
        <v>0.22192000000000001</v>
      </c>
      <c r="F178" s="156">
        <f>1743.02553</f>
        <v>1743.0255299999999</v>
      </c>
      <c r="G178" s="217"/>
      <c r="H178" s="156">
        <f>2049.34939</f>
        <v>2049.3493899999999</v>
      </c>
      <c r="I178" s="1"/>
      <c r="J178" s="123"/>
    </row>
    <row r="179" spans="1:10" ht="15.6" customHeight="1" x14ac:dyDescent="0.25">
      <c r="A179" s="1"/>
      <c r="B179" s="254"/>
      <c r="C179" s="173" t="s">
        <v>90</v>
      </c>
      <c r="D179" s="102">
        <v>200</v>
      </c>
      <c r="E179" s="176">
        <f>4.07706</f>
        <v>4.0770600000000004</v>
      </c>
      <c r="F179" s="176">
        <f>55.8805</f>
        <v>55.880499999999998</v>
      </c>
      <c r="G179" s="176">
        <f>D179-F179</f>
        <v>144.11950000000002</v>
      </c>
      <c r="H179" s="176">
        <f>109.45163</f>
        <v>109.45162999999999</v>
      </c>
      <c r="I179" s="1"/>
      <c r="J179" s="123"/>
    </row>
    <row r="180" spans="1:10" ht="14.1" customHeight="1" x14ac:dyDescent="0.25">
      <c r="A180" s="70"/>
      <c r="B180" s="82"/>
      <c r="C180" s="184" t="s">
        <v>91</v>
      </c>
      <c r="D180" s="185">
        <v>7622</v>
      </c>
      <c r="E180" s="185">
        <f>E181+E182+E183</f>
        <v>22.41891</v>
      </c>
      <c r="F180" s="185">
        <f>F181+F182+F183</f>
        <v>7870.8595399999995</v>
      </c>
      <c r="G180" s="185">
        <f>D180-F180</f>
        <v>-248.85953999999947</v>
      </c>
      <c r="H180" s="185">
        <f>H181+H182+H183</f>
        <v>8231.0736699999998</v>
      </c>
      <c r="I180" s="70"/>
      <c r="J180" s="119"/>
    </row>
    <row r="181" spans="1:10" ht="14.1" customHeight="1" x14ac:dyDescent="0.25">
      <c r="A181" s="202"/>
      <c r="B181" s="186"/>
      <c r="C181" s="187" t="s">
        <v>92</v>
      </c>
      <c r="D181" s="130"/>
      <c r="E181" s="130">
        <f>3.16252</f>
        <v>3.1625200000000002</v>
      </c>
      <c r="F181" s="130">
        <f>3970.5491</f>
        <v>3970.5491000000002</v>
      </c>
      <c r="G181" s="130"/>
      <c r="H181" s="130">
        <f>4085.74282</f>
        <v>4085.7428199999999</v>
      </c>
      <c r="I181" s="191"/>
      <c r="J181" s="132"/>
    </row>
    <row r="182" spans="1:10" ht="14.1" customHeight="1" x14ac:dyDescent="0.25">
      <c r="A182" s="202"/>
      <c r="B182" s="186"/>
      <c r="C182" s="187" t="s">
        <v>93</v>
      </c>
      <c r="D182" s="130"/>
      <c r="E182" s="130">
        <f>13.79837</f>
        <v>13.79837</v>
      </c>
      <c r="F182" s="130">
        <f>2544.14741</f>
        <v>2544.14741</v>
      </c>
      <c r="G182" s="130"/>
      <c r="H182" s="130">
        <f>2572.51495</f>
        <v>2572.5149500000002</v>
      </c>
      <c r="I182" s="191"/>
      <c r="J182" s="192"/>
    </row>
    <row r="183" spans="1:10" ht="14.1" customHeight="1" x14ac:dyDescent="0.25">
      <c r="A183" s="202"/>
      <c r="B183" s="186"/>
      <c r="C183" s="193" t="s">
        <v>94</v>
      </c>
      <c r="D183" s="196"/>
      <c r="E183" s="196">
        <f>5.45802</f>
        <v>5.4580200000000003</v>
      </c>
      <c r="F183" s="196">
        <f>1356.16303</f>
        <v>1356.1630299999999</v>
      </c>
      <c r="G183" s="196"/>
      <c r="H183" s="196">
        <f>1572.8159</f>
        <v>1572.8159000000001</v>
      </c>
      <c r="I183" s="191"/>
      <c r="J183" s="192"/>
    </row>
    <row r="184" spans="1:10" ht="14.1" customHeight="1" x14ac:dyDescent="0.25">
      <c r="A184" s="1"/>
      <c r="B184" s="254"/>
      <c r="C184" s="76" t="s">
        <v>95</v>
      </c>
      <c r="D184" s="143">
        <v>71</v>
      </c>
      <c r="E184" s="143">
        <f>0</f>
        <v>0</v>
      </c>
      <c r="F184" s="143">
        <f>0</f>
        <v>0</v>
      </c>
      <c r="G184" s="143">
        <f>D184-F184</f>
        <v>71</v>
      </c>
      <c r="H184" s="143">
        <f>0.6292</f>
        <v>0.62919999999999998</v>
      </c>
      <c r="I184" s="183"/>
      <c r="J184" s="244"/>
    </row>
    <row r="185" spans="1:10" ht="16.5" customHeight="1" x14ac:dyDescent="0.25">
      <c r="A185" s="1"/>
      <c r="B185" s="254"/>
      <c r="C185" s="96" t="s">
        <v>96</v>
      </c>
      <c r="D185" s="197"/>
      <c r="E185" s="97"/>
      <c r="F185" s="97"/>
      <c r="G185" s="97">
        <v>7.4999999999999997E-3</v>
      </c>
      <c r="H185" s="97"/>
      <c r="I185" s="183"/>
      <c r="J185" s="244"/>
    </row>
    <row r="186" spans="1:10" ht="19.350000000000001" customHeight="1" x14ac:dyDescent="0.25">
      <c r="A186" s="161"/>
      <c r="B186" s="54"/>
      <c r="C186" s="77" t="s">
        <v>44</v>
      </c>
      <c r="D186" s="198">
        <f>D177+D179+D180+D184</f>
        <v>12975</v>
      </c>
      <c r="E186" s="198">
        <f>E177+E178+E179+E180+E184+E185</f>
        <v>34.402670000000001</v>
      </c>
      <c r="F186" s="198">
        <f>F177+F178+F179+F180+F184+F185</f>
        <v>12016.89544</v>
      </c>
      <c r="G186" s="198">
        <f>D186-F186</f>
        <v>958.10455999999976</v>
      </c>
      <c r="H186" s="198">
        <f>H177+H178+H179+H180+H184+H185</f>
        <v>12491.45134</v>
      </c>
      <c r="I186" s="167"/>
      <c r="J186" s="164"/>
    </row>
    <row r="187" spans="1:10" ht="42" customHeight="1" x14ac:dyDescent="0.25">
      <c r="A187" s="1"/>
      <c r="B187" s="203"/>
      <c r="C187" s="227" t="s">
        <v>97</v>
      </c>
      <c r="D187" s="227"/>
      <c r="E187" s="227"/>
      <c r="F187" s="227"/>
      <c r="G187" s="227"/>
      <c r="H187" s="224"/>
      <c r="I187" s="224"/>
      <c r="J187" s="13"/>
    </row>
    <row r="188" spans="1:10" ht="12" customHeight="1" x14ac:dyDescent="0.25">
      <c r="A188" s="161" t="s">
        <v>141</v>
      </c>
      <c r="B188" s="199"/>
      <c r="C188" s="110"/>
      <c r="D188" s="110"/>
      <c r="E188" s="110"/>
      <c r="F188" s="110"/>
      <c r="G188" s="110"/>
      <c r="H188" s="200"/>
      <c r="I188" s="204"/>
      <c r="J188" s="205"/>
    </row>
    <row r="189" spans="1:10" ht="10.5" customHeight="1" x14ac:dyDescent="0.25">
      <c r="A189" s="154"/>
      <c r="B189" s="1"/>
      <c r="C189" s="202"/>
      <c r="D189" s="174"/>
      <c r="E189" s="174"/>
      <c r="F189" s="174"/>
      <c r="G189" s="174"/>
      <c r="H189" s="1"/>
      <c r="I189" s="1"/>
      <c r="J189" s="1"/>
    </row>
    <row r="190" spans="1:10" ht="10.5" customHeight="1" x14ac:dyDescent="0.25">
      <c r="A190" s="154" t="s">
        <v>141</v>
      </c>
      <c r="B190" s="1"/>
      <c r="C190" s="202"/>
      <c r="D190" s="174"/>
      <c r="E190" s="174"/>
      <c r="F190" s="174"/>
      <c r="G190" s="174"/>
      <c r="H190" s="1"/>
      <c r="I190" s="1"/>
      <c r="J190" s="1"/>
    </row>
    <row r="191" spans="1:10" ht="21.75" customHeight="1" x14ac:dyDescent="0.35">
      <c r="A191" s="154"/>
      <c r="B191" s="1"/>
      <c r="C191" s="215" t="s">
        <v>98</v>
      </c>
      <c r="D191" s="174"/>
      <c r="E191" s="174"/>
      <c r="F191" s="174"/>
      <c r="G191" s="174"/>
      <c r="H191" s="1"/>
      <c r="I191" s="1"/>
      <c r="J191" s="1"/>
    </row>
    <row r="192" spans="1:10" ht="21.75" customHeight="1" x14ac:dyDescent="0.35">
      <c r="A192" s="154" t="s">
        <v>141</v>
      </c>
      <c r="B192" s="1"/>
      <c r="C192" s="215"/>
      <c r="D192" s="174"/>
      <c r="E192" s="174"/>
      <c r="F192" s="174"/>
      <c r="G192" s="174"/>
      <c r="H192" s="1"/>
      <c r="I192" s="1"/>
      <c r="J192" s="1"/>
    </row>
    <row r="193" spans="1:10" ht="12" customHeight="1" x14ac:dyDescent="0.25">
      <c r="A193" s="154"/>
      <c r="B193" s="142"/>
      <c r="C193" s="226"/>
      <c r="D193" s="237"/>
      <c r="E193" s="237"/>
      <c r="F193" s="237"/>
      <c r="G193" s="237"/>
      <c r="H193" s="159"/>
      <c r="I193" s="159"/>
      <c r="J193" s="166"/>
    </row>
    <row r="194" spans="1:10" ht="15" customHeight="1" x14ac:dyDescent="0.25">
      <c r="A194" s="154"/>
      <c r="B194" s="254"/>
      <c r="C194" s="153" t="s">
        <v>2</v>
      </c>
      <c r="D194" s="189"/>
      <c r="E194" s="154"/>
      <c r="F194" s="154"/>
      <c r="G194" s="174"/>
      <c r="H194" s="1"/>
      <c r="I194" s="1"/>
      <c r="J194" s="123"/>
    </row>
    <row r="195" spans="1:10" ht="15" customHeight="1" x14ac:dyDescent="0.25">
      <c r="A195" s="154"/>
      <c r="B195" s="254"/>
      <c r="C195" s="259" t="s">
        <v>99</v>
      </c>
      <c r="D195" s="270">
        <v>44291</v>
      </c>
      <c r="E195" s="154"/>
      <c r="F195" s="154"/>
      <c r="G195" s="174"/>
      <c r="H195" s="1"/>
      <c r="I195" s="1"/>
      <c r="J195" s="123"/>
    </row>
    <row r="196" spans="1:10" ht="15" customHeight="1" x14ac:dyDescent="0.25">
      <c r="A196" s="154"/>
      <c r="B196" s="254"/>
      <c r="C196" s="248" t="s">
        <v>100</v>
      </c>
      <c r="D196" s="46">
        <v>15198</v>
      </c>
      <c r="E196" s="154"/>
      <c r="F196" s="154"/>
      <c r="G196" s="174"/>
      <c r="H196" s="1"/>
      <c r="I196" s="1"/>
      <c r="J196" s="123"/>
    </row>
    <row r="197" spans="1:10" ht="18" customHeight="1" x14ac:dyDescent="0.25">
      <c r="A197" s="154"/>
      <c r="B197" s="254"/>
      <c r="C197" s="248" t="s">
        <v>101</v>
      </c>
      <c r="D197" s="46">
        <v>7721</v>
      </c>
      <c r="E197" s="154"/>
      <c r="F197" s="154"/>
      <c r="G197" s="174"/>
      <c r="H197" s="1"/>
      <c r="I197" s="1"/>
      <c r="J197" s="123"/>
    </row>
    <row r="198" spans="1:10" ht="11.25" customHeight="1" x14ac:dyDescent="0.25">
      <c r="A198" s="154"/>
      <c r="B198" s="254"/>
      <c r="C198" s="57" t="s">
        <v>57</v>
      </c>
      <c r="D198" s="35">
        <v>67210</v>
      </c>
      <c r="E198" s="154"/>
      <c r="F198" s="154"/>
      <c r="G198" s="174"/>
      <c r="H198" s="1"/>
      <c r="I198" s="1"/>
      <c r="J198" s="123"/>
    </row>
    <row r="199" spans="1:10" ht="12" customHeight="1" x14ac:dyDescent="0.25">
      <c r="A199" s="1"/>
      <c r="B199" s="254"/>
      <c r="C199" s="101" t="s">
        <v>102</v>
      </c>
      <c r="D199" s="174"/>
      <c r="E199" s="174"/>
      <c r="F199" s="174"/>
      <c r="G199" s="174"/>
      <c r="H199" s="1"/>
      <c r="I199" s="1"/>
      <c r="J199" s="123"/>
    </row>
    <row r="200" spans="1:10" ht="10.5" customHeight="1" x14ac:dyDescent="0.25">
      <c r="A200" s="1"/>
      <c r="B200" s="254"/>
      <c r="C200" s="101" t="s">
        <v>103</v>
      </c>
      <c r="D200" s="174"/>
      <c r="E200" s="174"/>
      <c r="F200" s="174"/>
      <c r="G200" s="174"/>
      <c r="H200" s="1"/>
      <c r="I200" s="1"/>
      <c r="J200" s="123"/>
    </row>
    <row r="201" spans="1:10" ht="12" customHeight="1" x14ac:dyDescent="0.25">
      <c r="A201" s="1"/>
      <c r="B201" s="254"/>
      <c r="C201" s="101" t="s">
        <v>104</v>
      </c>
      <c r="D201" s="174"/>
      <c r="E201" s="174"/>
      <c r="F201" s="174"/>
      <c r="G201" s="174"/>
      <c r="H201" s="1"/>
      <c r="I201" s="1"/>
      <c r="J201" s="123"/>
    </row>
    <row r="202" spans="1:10" ht="12" customHeight="1" x14ac:dyDescent="0.25">
      <c r="A202" s="1"/>
      <c r="B202" s="241"/>
      <c r="C202" s="267"/>
      <c r="D202" s="163"/>
      <c r="E202" s="163"/>
      <c r="F202" s="267"/>
      <c r="G202" s="267"/>
      <c r="H202" s="267"/>
      <c r="I202" s="233"/>
      <c r="J202" s="245"/>
    </row>
    <row r="203" spans="1:10" ht="23.25" customHeight="1" x14ac:dyDescent="0.25">
      <c r="A203" s="1"/>
      <c r="B203" s="254"/>
      <c r="C203" s="18" t="s">
        <v>18</v>
      </c>
      <c r="D203" s="174"/>
      <c r="E203" s="174"/>
      <c r="F203" s="174"/>
      <c r="G203" s="1"/>
      <c r="H203" s="1"/>
      <c r="I203" s="1"/>
      <c r="J203" s="123"/>
    </row>
    <row r="204" spans="1:10" ht="15" customHeight="1" x14ac:dyDescent="0.25">
      <c r="A204" s="1"/>
      <c r="B204" s="254"/>
      <c r="C204" s="101"/>
      <c r="D204" s="174"/>
      <c r="E204" s="174"/>
      <c r="F204" s="174"/>
      <c r="G204" s="174"/>
      <c r="H204" s="1"/>
      <c r="I204" s="1"/>
      <c r="J204" s="123"/>
    </row>
    <row r="205" spans="1:10" ht="48.75" customHeight="1" x14ac:dyDescent="0.25">
      <c r="A205" s="1"/>
      <c r="B205" s="254"/>
      <c r="C205" s="68" t="s">
        <v>19</v>
      </c>
      <c r="D205" s="79" t="s">
        <v>3</v>
      </c>
      <c r="E205" s="68" t="s">
        <v>142</v>
      </c>
      <c r="F205" s="68" t="s">
        <v>143</v>
      </c>
      <c r="G205" s="68" t="s">
        <v>144</v>
      </c>
      <c r="H205" s="68" t="s">
        <v>145</v>
      </c>
      <c r="I205" s="1"/>
      <c r="J205" s="123"/>
    </row>
    <row r="206" spans="1:10" ht="15" customHeight="1" x14ac:dyDescent="0.25">
      <c r="A206" s="1"/>
      <c r="B206" s="254"/>
      <c r="C206" s="90" t="s">
        <v>5</v>
      </c>
      <c r="D206" s="124">
        <v>44139</v>
      </c>
      <c r="E206" s="124">
        <f>23.58436</f>
        <v>23.58436</v>
      </c>
      <c r="F206" s="124">
        <f>38005.16819</f>
        <v>38005.168189999997</v>
      </c>
      <c r="G206" s="124">
        <f>D206-F206</f>
        <v>6133.8318100000033</v>
      </c>
      <c r="H206" s="124">
        <f>43226.22079</f>
        <v>43226.220789999999</v>
      </c>
      <c r="I206" s="248"/>
      <c r="J206" s="123"/>
    </row>
    <row r="207" spans="1:10" ht="15" customHeight="1" x14ac:dyDescent="0.25">
      <c r="A207" s="1"/>
      <c r="B207" s="254"/>
      <c r="C207" s="90" t="s">
        <v>79</v>
      </c>
      <c r="D207" s="124">
        <v>100</v>
      </c>
      <c r="E207" s="124">
        <f>1.0115</f>
        <v>1.0115000000000001</v>
      </c>
      <c r="F207" s="124">
        <f>62.252</f>
        <v>62.252000000000002</v>
      </c>
      <c r="G207" s="124">
        <f>D207-F207</f>
        <v>37.747999999999998</v>
      </c>
      <c r="H207" s="124">
        <f>30.80078</f>
        <v>30.80078</v>
      </c>
      <c r="I207" s="248"/>
      <c r="J207" s="123"/>
    </row>
    <row r="208" spans="1:10" ht="15.75" customHeight="1" x14ac:dyDescent="0.25">
      <c r="A208" s="1"/>
      <c r="B208" s="254"/>
      <c r="C208" s="146" t="s">
        <v>95</v>
      </c>
      <c r="D208" s="168">
        <v>52</v>
      </c>
      <c r="E208" s="168"/>
      <c r="F208" s="168"/>
      <c r="G208" s="168">
        <f>D208-F208</f>
        <v>52</v>
      </c>
      <c r="H208" s="168"/>
      <c r="I208" s="248"/>
      <c r="J208" s="123"/>
    </row>
    <row r="209" spans="1:10" ht="16.5" customHeight="1" x14ac:dyDescent="0.25">
      <c r="A209" s="1"/>
      <c r="B209" s="254"/>
      <c r="C209" s="179" t="s">
        <v>105</v>
      </c>
      <c r="D209" s="190">
        <f>SUM(D206:D208)</f>
        <v>44291</v>
      </c>
      <c r="E209" s="190">
        <f>SUM(E206:E208)</f>
        <v>24.595860000000002</v>
      </c>
      <c r="F209" s="190">
        <f>SUM(F206:F208)</f>
        <v>38067.420189999997</v>
      </c>
      <c r="G209" s="190">
        <f>D209-F209</f>
        <v>6223.5798100000029</v>
      </c>
      <c r="H209" s="190">
        <f>SUM(H206:H208)</f>
        <v>43257.021569999997</v>
      </c>
      <c r="I209" s="248"/>
      <c r="J209" s="123"/>
    </row>
    <row r="210" spans="1:10" ht="17.100000000000001" customHeight="1" x14ac:dyDescent="0.25">
      <c r="A210" s="1"/>
      <c r="B210" s="169"/>
      <c r="C210" s="201" t="s">
        <v>106</v>
      </c>
      <c r="D210" s="110"/>
      <c r="E210" s="110"/>
      <c r="F210" s="212"/>
      <c r="G210" s="212"/>
      <c r="H210" s="212"/>
      <c r="I210" s="212"/>
      <c r="J210" s="216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7.100000000000001" customHeight="1" x14ac:dyDescent="0.25">
      <c r="A244" s="1" t="s">
        <v>141</v>
      </c>
      <c r="B244" s="1"/>
      <c r="C244" s="1"/>
      <c r="D244" s="1"/>
      <c r="E244" s="1"/>
      <c r="F244" s="1"/>
      <c r="G244" s="1"/>
      <c r="H244" s="1"/>
      <c r="I244" s="1"/>
      <c r="J244" s="218"/>
    </row>
    <row r="245" spans="1:10" ht="30" customHeight="1" x14ac:dyDescent="0.25">
      <c r="A245" s="218"/>
      <c r="B245" s="218"/>
      <c r="C245" s="219" t="s">
        <v>107</v>
      </c>
      <c r="D245" s="218"/>
      <c r="E245" s="218"/>
      <c r="F245" s="218"/>
      <c r="G245" s="218"/>
      <c r="H245" s="218"/>
      <c r="I245" s="218"/>
      <c r="J245" s="224"/>
    </row>
    <row r="246" spans="1:10" ht="30" customHeight="1" x14ac:dyDescent="0.25">
      <c r="A246" s="218" t="s">
        <v>141</v>
      </c>
      <c r="B246" s="218"/>
      <c r="C246" s="219"/>
      <c r="D246" s="218"/>
      <c r="E246" s="218"/>
      <c r="F246" s="218"/>
      <c r="G246" s="218"/>
      <c r="H246" s="218"/>
      <c r="I246" s="218"/>
      <c r="J246" s="224"/>
    </row>
    <row r="247" spans="1:10" ht="14.1" customHeight="1" x14ac:dyDescent="0.25">
      <c r="A247" s="1"/>
      <c r="B247" s="139"/>
      <c r="C247" s="178"/>
      <c r="D247" s="178"/>
      <c r="E247" s="178"/>
      <c r="F247" s="178"/>
      <c r="G247" s="178"/>
      <c r="H247" s="178"/>
      <c r="I247" s="178"/>
      <c r="J247" s="166"/>
    </row>
    <row r="248" spans="1:10" ht="14.1" customHeight="1" x14ac:dyDescent="0.25">
      <c r="A248" s="161"/>
      <c r="B248" s="54"/>
      <c r="C248" s="153" t="s">
        <v>2</v>
      </c>
      <c r="D248" s="189"/>
      <c r="E248" s="154"/>
      <c r="F248" s="154"/>
      <c r="G248" s="161"/>
      <c r="H248" s="161"/>
      <c r="I248" s="161"/>
      <c r="J248" s="123"/>
    </row>
    <row r="249" spans="1:10" ht="14.1" customHeight="1" x14ac:dyDescent="0.25">
      <c r="A249" s="1"/>
      <c r="B249" s="254"/>
      <c r="C249" s="259" t="s">
        <v>99</v>
      </c>
      <c r="D249" s="270">
        <v>1870</v>
      </c>
      <c r="E249" s="154"/>
      <c r="F249" s="225"/>
      <c r="G249" s="1"/>
      <c r="H249" s="1"/>
      <c r="I249" s="1"/>
      <c r="J249" s="123"/>
    </row>
    <row r="250" spans="1:10" ht="14.1" customHeight="1" x14ac:dyDescent="0.25">
      <c r="A250" s="1"/>
      <c r="B250" s="254"/>
      <c r="C250" s="248" t="s">
        <v>108</v>
      </c>
      <c r="D250" s="46">
        <v>5934</v>
      </c>
      <c r="E250" s="154"/>
      <c r="F250" s="225"/>
      <c r="G250" s="1"/>
      <c r="H250" s="1"/>
      <c r="I250" s="1"/>
      <c r="J250" s="123"/>
    </row>
    <row r="251" spans="1:10" ht="14.1" customHeight="1" x14ac:dyDescent="0.25">
      <c r="A251" s="1"/>
      <c r="B251" s="254"/>
      <c r="C251" s="248" t="s">
        <v>109</v>
      </c>
      <c r="D251" s="46">
        <v>5060</v>
      </c>
      <c r="E251" s="154"/>
      <c r="F251" s="225"/>
      <c r="G251" s="1"/>
      <c r="H251" s="1"/>
      <c r="I251" s="1"/>
      <c r="J251" s="123"/>
    </row>
    <row r="252" spans="1:10" ht="13.5" customHeight="1" x14ac:dyDescent="0.25">
      <c r="A252" s="1"/>
      <c r="B252" s="254"/>
      <c r="C252" s="248" t="s">
        <v>88</v>
      </c>
      <c r="D252" s="46">
        <v>382</v>
      </c>
      <c r="E252" s="154"/>
      <c r="F252" s="225"/>
      <c r="G252" s="1"/>
      <c r="H252" s="1"/>
      <c r="I252" s="1"/>
      <c r="J252" s="123"/>
    </row>
    <row r="253" spans="1:10" ht="14.25" customHeight="1" x14ac:dyDescent="0.25">
      <c r="A253" s="1"/>
      <c r="B253" s="254"/>
      <c r="C253" s="57" t="s">
        <v>57</v>
      </c>
      <c r="D253" s="35">
        <f>SUM(D249:D252)</f>
        <v>13246</v>
      </c>
      <c r="E253" s="154"/>
      <c r="F253" s="154"/>
      <c r="G253" s="1"/>
      <c r="H253" s="1"/>
      <c r="I253" s="1"/>
      <c r="J253" s="123"/>
    </row>
    <row r="254" spans="1:10" ht="14.1" customHeight="1" x14ac:dyDescent="0.25">
      <c r="A254" s="1"/>
      <c r="B254" s="254"/>
      <c r="C254" s="228" t="s">
        <v>110</v>
      </c>
      <c r="D254" s="229"/>
      <c r="E254" s="183"/>
      <c r="F254" s="183"/>
      <c r="G254" s="1"/>
      <c r="H254" s="1"/>
      <c r="I254" s="1"/>
      <c r="J254" s="123"/>
    </row>
    <row r="255" spans="1:10" ht="15" customHeight="1" x14ac:dyDescent="0.25">
      <c r="A255" s="1"/>
      <c r="B255" s="254"/>
      <c r="C255" s="101" t="s">
        <v>111</v>
      </c>
      <c r="D255" s="230"/>
      <c r="E255" s="1"/>
      <c r="F255" s="1"/>
      <c r="G255" s="1"/>
      <c r="H255" s="1"/>
      <c r="I255" s="1"/>
      <c r="J255" s="123"/>
    </row>
    <row r="256" spans="1:10" ht="14.25" customHeight="1" x14ac:dyDescent="0.25">
      <c r="A256" s="1"/>
      <c r="B256" s="254"/>
      <c r="C256" s="101" t="s">
        <v>112</v>
      </c>
      <c r="D256" s="1"/>
      <c r="E256" s="1"/>
      <c r="F256" s="1"/>
      <c r="G256" s="1"/>
      <c r="H256" s="1"/>
      <c r="I256" s="1"/>
      <c r="J256" s="123"/>
    </row>
    <row r="257" spans="1:10" ht="23.25" customHeight="1" x14ac:dyDescent="0.25">
      <c r="A257" s="1"/>
      <c r="B257" s="231"/>
      <c r="C257" s="234" t="s">
        <v>18</v>
      </c>
      <c r="D257" s="234"/>
      <c r="E257" s="234"/>
      <c r="F257" s="234"/>
      <c r="G257" s="234"/>
      <c r="H257" s="234"/>
      <c r="I257" s="234"/>
      <c r="J257" s="238"/>
    </row>
    <row r="258" spans="1:10" ht="14.1" customHeight="1" x14ac:dyDescent="0.25">
      <c r="A258" s="1"/>
      <c r="B258" s="240"/>
      <c r="C258" s="242"/>
      <c r="D258" s="242"/>
      <c r="E258" s="242"/>
      <c r="F258" s="242"/>
      <c r="G258" s="242"/>
      <c r="H258" s="242"/>
      <c r="I258" s="242"/>
      <c r="J258" s="123"/>
    </row>
    <row r="259" spans="1:10" ht="54" customHeight="1" x14ac:dyDescent="0.25">
      <c r="A259" s="1"/>
      <c r="B259" s="254"/>
      <c r="C259" s="68" t="s">
        <v>19</v>
      </c>
      <c r="D259" s="243" t="s">
        <v>3</v>
      </c>
      <c r="E259" s="68" t="s">
        <v>142</v>
      </c>
      <c r="F259" s="68" t="s">
        <v>143</v>
      </c>
      <c r="G259" s="68" t="s">
        <v>144</v>
      </c>
      <c r="H259" s="68" t="s">
        <v>145</v>
      </c>
      <c r="I259" s="1"/>
      <c r="J259" s="119"/>
    </row>
    <row r="260" spans="1:10" ht="14.1" customHeight="1" x14ac:dyDescent="0.25">
      <c r="A260" s="70"/>
      <c r="B260" s="82"/>
      <c r="C260" s="90" t="s">
        <v>113</v>
      </c>
      <c r="D260" s="10">
        <v>1865</v>
      </c>
      <c r="E260" s="124">
        <f>0.79532</f>
        <v>0.79532000000000003</v>
      </c>
      <c r="F260" s="124">
        <f>389.76088</f>
        <v>389.76087999999999</v>
      </c>
      <c r="G260" s="45">
        <f>D260-F260-F261</f>
        <v>-267.48360000000002</v>
      </c>
      <c r="H260" s="124">
        <f>491.62994</f>
        <v>491.62993999999998</v>
      </c>
      <c r="I260" s="70"/>
      <c r="J260" s="244"/>
    </row>
    <row r="261" spans="1:10" ht="14.1" customHeight="1" x14ac:dyDescent="0.25">
      <c r="A261" s="1"/>
      <c r="B261" s="254"/>
      <c r="C261" s="90" t="s">
        <v>114</v>
      </c>
      <c r="D261" s="221"/>
      <c r="E261" s="124">
        <f>2.06428</f>
        <v>2.0642800000000001</v>
      </c>
      <c r="F261" s="124">
        <f>1742.72272</f>
        <v>1742.72272</v>
      </c>
      <c r="G261" s="140"/>
      <c r="H261" s="124">
        <f>1037.29274</f>
        <v>1037.2927400000001</v>
      </c>
      <c r="I261" s="183"/>
      <c r="J261" s="119"/>
    </row>
    <row r="262" spans="1:10" ht="16.5" customHeight="1" x14ac:dyDescent="0.25">
      <c r="A262" s="70"/>
      <c r="B262" s="82"/>
      <c r="C262" s="146" t="s">
        <v>95</v>
      </c>
      <c r="D262" s="246">
        <v>5</v>
      </c>
      <c r="E262" s="168">
        <f>0</f>
        <v>0</v>
      </c>
      <c r="F262" s="168">
        <f>3.1032</f>
        <v>3.1032000000000002</v>
      </c>
      <c r="G262" s="124">
        <f>D262-F262</f>
        <v>1.8967999999999998</v>
      </c>
      <c r="H262" s="168">
        <f>1.389</f>
        <v>1.389</v>
      </c>
      <c r="I262" s="70"/>
      <c r="J262" s="249"/>
    </row>
    <row r="263" spans="1:10" ht="18.75" customHeight="1" x14ac:dyDescent="0.25">
      <c r="A263" s="70"/>
      <c r="B263" s="250"/>
      <c r="C263" s="146" t="s">
        <v>115</v>
      </c>
      <c r="D263" s="222"/>
      <c r="E263" s="168">
        <f>0</f>
        <v>0</v>
      </c>
      <c r="F263" s="168">
        <f>6.96964</f>
        <v>6.9696400000000001</v>
      </c>
      <c r="G263" s="124"/>
      <c r="H263" s="168">
        <f>2.94782</f>
        <v>2.9478200000000001</v>
      </c>
      <c r="I263" s="284"/>
      <c r="J263" s="123"/>
    </row>
    <row r="264" spans="1:10" ht="14.1" customHeight="1" x14ac:dyDescent="0.25">
      <c r="A264" s="1"/>
      <c r="B264" s="254"/>
      <c r="C264" s="179" t="s">
        <v>105</v>
      </c>
      <c r="D264" s="6">
        <f>D249</f>
        <v>1870</v>
      </c>
      <c r="E264" s="190">
        <f>SUM(E260:E263)</f>
        <v>2.8596000000000004</v>
      </c>
      <c r="F264" s="190">
        <f>SUM(F260:F263)</f>
        <v>2142.5564399999998</v>
      </c>
      <c r="G264" s="190">
        <f>D264-F264</f>
        <v>-272.55643999999984</v>
      </c>
      <c r="H264" s="190">
        <f>H260+H261+H262+H263</f>
        <v>1533.2595000000001</v>
      </c>
      <c r="I264" s="1"/>
      <c r="J264" s="123"/>
    </row>
    <row r="265" spans="1:10" ht="14.1" customHeight="1" x14ac:dyDescent="0.25">
      <c r="A265" s="1"/>
      <c r="B265" s="254"/>
      <c r="C265" s="21"/>
      <c r="D265" s="34"/>
      <c r="E265" s="34"/>
      <c r="F265" s="34"/>
      <c r="G265" s="34"/>
      <c r="H265" s="34"/>
      <c r="I265" s="1"/>
      <c r="J265" s="123"/>
    </row>
    <row r="266" spans="1:10" ht="14.1" customHeight="1" x14ac:dyDescent="0.25">
      <c r="A266" s="1"/>
      <c r="B266" s="169"/>
      <c r="C266" s="110"/>
      <c r="D266" s="110"/>
      <c r="E266" s="110"/>
      <c r="F266" s="110"/>
      <c r="G266" s="109"/>
      <c r="H266" s="110"/>
      <c r="I266" s="110"/>
      <c r="J266" s="121"/>
    </row>
    <row r="267" spans="1:10" ht="14.1" customHeight="1" x14ac:dyDescent="0.25">
      <c r="A267" s="1"/>
      <c r="C267" s="154" t="s">
        <v>141</v>
      </c>
    </row>
    <row r="268" spans="1:10" ht="14.1" customHeight="1" x14ac:dyDescent="0.25">
      <c r="A268" s="1" t="s">
        <v>141</v>
      </c>
    </row>
    <row r="269" spans="1:10" ht="14.1" customHeight="1" x14ac:dyDescent="0.25">
      <c r="A269" s="1" t="s">
        <v>141</v>
      </c>
    </row>
    <row r="270" spans="1:10" ht="14.1" customHeight="1" x14ac:dyDescent="0.25">
      <c r="A270" s="1"/>
      <c r="C270" s="154" t="s">
        <v>141</v>
      </c>
    </row>
    <row r="271" spans="1:10" ht="36" customHeight="1" x14ac:dyDescent="0.25">
      <c r="A271" s="1"/>
      <c r="C271" s="154" t="s">
        <v>141</v>
      </c>
    </row>
    <row r="272" spans="1:10" ht="14.1" customHeight="1" x14ac:dyDescent="0.25">
      <c r="A272" s="1"/>
      <c r="C272" s="154" t="s">
        <v>141</v>
      </c>
    </row>
    <row r="273" spans="1:10" ht="14.1" customHeight="1" x14ac:dyDescent="0.25">
      <c r="A273" s="1"/>
      <c r="C273" s="154" t="s">
        <v>141</v>
      </c>
    </row>
    <row r="274" spans="1:10" ht="30" customHeight="1" x14ac:dyDescent="0.35">
      <c r="A274" s="218"/>
      <c r="B274" s="1"/>
      <c r="C274" s="215" t="s">
        <v>116</v>
      </c>
      <c r="D274" s="161"/>
      <c r="E274" s="1"/>
      <c r="F274" s="1"/>
      <c r="G274" s="1"/>
      <c r="H274" s="1"/>
      <c r="I274" s="1"/>
      <c r="J274" s="1"/>
    </row>
    <row r="275" spans="1:10" ht="17.100000000000001" customHeight="1" x14ac:dyDescent="0.25">
      <c r="B275" s="127"/>
      <c r="C275" s="239"/>
      <c r="D275" s="239"/>
      <c r="E275" s="239"/>
      <c r="F275" s="239"/>
      <c r="G275" s="239"/>
      <c r="H275" s="239"/>
      <c r="I275" s="239"/>
      <c r="J275" s="62"/>
    </row>
    <row r="276" spans="1:10" ht="6" customHeight="1" x14ac:dyDescent="0.25">
      <c r="B276" s="75"/>
      <c r="C276" s="154"/>
      <c r="D276" s="154"/>
      <c r="E276" s="154"/>
      <c r="F276" s="154"/>
      <c r="G276" s="154"/>
      <c r="H276" s="154"/>
      <c r="I276" s="154"/>
      <c r="J276" s="133"/>
    </row>
    <row r="277" spans="1:10" ht="18" customHeight="1" x14ac:dyDescent="0.25">
      <c r="B277" s="75"/>
      <c r="C277" s="153" t="s">
        <v>2</v>
      </c>
      <c r="D277" s="189"/>
      <c r="E277" s="153" t="s">
        <v>117</v>
      </c>
      <c r="F277" s="189"/>
      <c r="G277" s="153" t="s">
        <v>118</v>
      </c>
      <c r="H277" s="189"/>
      <c r="I277" s="154"/>
      <c r="J277" s="133"/>
    </row>
    <row r="278" spans="1:10" ht="14.25" customHeight="1" x14ac:dyDescent="0.25">
      <c r="B278" s="75"/>
      <c r="C278" s="259" t="s">
        <v>99</v>
      </c>
      <c r="D278" s="270">
        <v>22619</v>
      </c>
      <c r="E278" s="252" t="s">
        <v>5</v>
      </c>
      <c r="F278" s="106">
        <v>9109</v>
      </c>
      <c r="G278" s="248" t="s">
        <v>23</v>
      </c>
      <c r="H278" s="46">
        <v>3000</v>
      </c>
      <c r="I278" s="154"/>
      <c r="J278" s="133"/>
    </row>
    <row r="279" spans="1:10" ht="14.25" customHeight="1" x14ac:dyDescent="0.25">
      <c r="B279" s="75"/>
      <c r="C279" s="248" t="s">
        <v>109</v>
      </c>
      <c r="D279" s="46">
        <v>16564</v>
      </c>
      <c r="E279" s="183" t="s">
        <v>114</v>
      </c>
      <c r="F279" s="49">
        <v>8000</v>
      </c>
      <c r="G279" s="248" t="s">
        <v>24</v>
      </c>
      <c r="H279" s="46">
        <v>781</v>
      </c>
      <c r="I279" s="154"/>
      <c r="J279" s="133"/>
    </row>
    <row r="280" spans="1:10" ht="14.25" customHeight="1" x14ac:dyDescent="0.25">
      <c r="B280" s="75"/>
      <c r="C280" s="248" t="s">
        <v>108</v>
      </c>
      <c r="D280" s="46">
        <v>5012</v>
      </c>
      <c r="E280" s="183" t="s">
        <v>70</v>
      </c>
      <c r="F280" s="49">
        <v>5500</v>
      </c>
      <c r="G280" s="248" t="s">
        <v>119</v>
      </c>
      <c r="H280" s="46">
        <v>4103</v>
      </c>
      <c r="I280" s="154"/>
      <c r="J280" s="133"/>
    </row>
    <row r="281" spans="1:10" ht="14.1" customHeight="1" x14ac:dyDescent="0.25">
      <c r="B281" s="75"/>
      <c r="C281" s="248"/>
      <c r="D281" s="46"/>
      <c r="E281" s="134"/>
      <c r="F281" s="149"/>
      <c r="G281" s="248" t="s">
        <v>120</v>
      </c>
      <c r="H281" s="46">
        <v>1225</v>
      </c>
      <c r="I281" s="154"/>
      <c r="J281" s="133"/>
    </row>
    <row r="282" spans="1:10" ht="14.1" customHeight="1" x14ac:dyDescent="0.25">
      <c r="B282" s="75"/>
      <c r="C282" s="57" t="s">
        <v>57</v>
      </c>
      <c r="D282" s="35">
        <v>44950</v>
      </c>
      <c r="E282" s="177" t="s">
        <v>121</v>
      </c>
      <c r="F282" s="35">
        <f>F278+F279+F280</f>
        <v>22609</v>
      </c>
      <c r="G282" s="57" t="s">
        <v>5</v>
      </c>
      <c r="H282" s="35">
        <f>SUM(H278:H281)</f>
        <v>9109</v>
      </c>
      <c r="I282" s="154"/>
      <c r="J282" s="133"/>
    </row>
    <row r="283" spans="1:10" ht="13.35" customHeight="1" x14ac:dyDescent="0.25">
      <c r="B283" s="75"/>
      <c r="C283" s="101" t="s">
        <v>122</v>
      </c>
      <c r="D283" s="183"/>
      <c r="E283" s="183"/>
      <c r="F283" s="183"/>
      <c r="G283" s="1"/>
      <c r="H283" s="183"/>
      <c r="I283" s="183"/>
      <c r="J283" s="244"/>
    </row>
    <row r="284" spans="1:10" ht="13.35" customHeight="1" x14ac:dyDescent="0.25">
      <c r="B284" s="75"/>
      <c r="C284" s="101" t="s">
        <v>123</v>
      </c>
      <c r="D284" s="1"/>
      <c r="E284" s="1"/>
      <c r="F284" s="1"/>
      <c r="G284" s="1"/>
      <c r="H284" s="1"/>
      <c r="I284" s="1"/>
      <c r="J284" s="123"/>
    </row>
    <row r="285" spans="1:10" ht="9.75" customHeight="1" x14ac:dyDescent="0.25">
      <c r="B285" s="75"/>
      <c r="C285" s="101"/>
      <c r="D285" s="1"/>
      <c r="E285" s="1"/>
      <c r="F285" s="1"/>
      <c r="G285" s="1"/>
      <c r="H285" s="1"/>
      <c r="I285" s="1"/>
      <c r="J285" s="123"/>
    </row>
    <row r="286" spans="1:10" ht="18" customHeight="1" x14ac:dyDescent="0.25">
      <c r="B286" s="75"/>
      <c r="C286" s="154"/>
      <c r="D286" s="154"/>
      <c r="E286" s="154"/>
      <c r="F286" s="154"/>
      <c r="G286" s="154"/>
      <c r="H286" s="154"/>
      <c r="I286" s="154"/>
      <c r="J286" s="133"/>
    </row>
    <row r="287" spans="1:10" ht="29.25" customHeight="1" x14ac:dyDescent="0.25">
      <c r="B287" s="231"/>
      <c r="C287" s="234" t="s">
        <v>18</v>
      </c>
      <c r="D287" s="234"/>
      <c r="E287" s="234"/>
      <c r="F287" s="234"/>
      <c r="G287" s="234"/>
      <c r="H287" s="234"/>
      <c r="I287" s="234"/>
      <c r="J287" s="238"/>
    </row>
    <row r="288" spans="1:10" ht="18.75" customHeight="1" x14ac:dyDescent="0.25">
      <c r="B288" s="203"/>
      <c r="C288" s="224"/>
      <c r="D288" s="224"/>
      <c r="E288" s="224"/>
      <c r="F288" s="224"/>
      <c r="G288" s="224"/>
      <c r="H288" s="224"/>
      <c r="I288" s="224"/>
      <c r="J288" s="13"/>
    </row>
    <row r="289" spans="1:10" ht="64.5" customHeight="1" x14ac:dyDescent="0.25">
      <c r="B289" s="75"/>
      <c r="C289" s="223" t="s">
        <v>19</v>
      </c>
      <c r="D289" s="232" t="s">
        <v>20</v>
      </c>
      <c r="E289" s="68" t="s">
        <v>124</v>
      </c>
      <c r="F289" s="223" t="s">
        <v>142</v>
      </c>
      <c r="G289" s="223" t="s">
        <v>143</v>
      </c>
      <c r="H289" s="223" t="s">
        <v>144</v>
      </c>
      <c r="I289" s="223" t="s">
        <v>145</v>
      </c>
      <c r="J289" s="133"/>
    </row>
    <row r="290" spans="1:10" ht="14.1" customHeight="1" x14ac:dyDescent="0.25">
      <c r="A290" s="218"/>
      <c r="B290" s="75"/>
      <c r="C290" s="247" t="s">
        <v>22</v>
      </c>
      <c r="D290" s="251">
        <f t="shared" ref="D290:I290" si="14">D294+D293+D292+D291</f>
        <v>9109</v>
      </c>
      <c r="E290" s="251">
        <f t="shared" si="14"/>
        <v>12104</v>
      </c>
      <c r="F290" s="253">
        <f t="shared" si="14"/>
        <v>15.7752</v>
      </c>
      <c r="G290" s="253">
        <f t="shared" si="14"/>
        <v>10422.485619999999</v>
      </c>
      <c r="H290" s="253">
        <f>H294+H293+H292+H291</f>
        <v>1681.5143800000001</v>
      </c>
      <c r="I290" s="253">
        <f t="shared" si="14"/>
        <v>13953.354800000001</v>
      </c>
      <c r="J290" s="133"/>
    </row>
    <row r="291" spans="1:10" ht="14.1" customHeight="1" x14ac:dyDescent="0.25">
      <c r="A291" s="218"/>
      <c r="B291" s="75"/>
      <c r="C291" s="255" t="s">
        <v>125</v>
      </c>
      <c r="D291" s="256">
        <v>3000</v>
      </c>
      <c r="E291" s="256">
        <v>5258</v>
      </c>
      <c r="F291" s="257">
        <f>0</f>
        <v>0</v>
      </c>
      <c r="G291" s="257">
        <f>6827.882</f>
        <v>6827.8819999999996</v>
      </c>
      <c r="H291" s="257">
        <f t="shared" ref="H291:H295" si="15">E291-G291</f>
        <v>-1569.8819999999996</v>
      </c>
      <c r="I291" s="257">
        <f>7768.21189</f>
        <v>7768.2118899999996</v>
      </c>
      <c r="J291" s="133"/>
    </row>
    <row r="292" spans="1:10" ht="14.1" customHeight="1" x14ac:dyDescent="0.25">
      <c r="A292" s="218"/>
      <c r="B292" s="75"/>
      <c r="C292" s="260" t="s">
        <v>24</v>
      </c>
      <c r="D292" s="256">
        <v>781</v>
      </c>
      <c r="E292" s="256">
        <v>1369</v>
      </c>
      <c r="F292" s="257">
        <f>0</f>
        <v>0</v>
      </c>
      <c r="G292" s="257">
        <f>881.67555</f>
        <v>881.67555000000004</v>
      </c>
      <c r="H292" s="257">
        <f t="shared" si="15"/>
        <v>487.32444999999996</v>
      </c>
      <c r="I292" s="257">
        <f>2101.784</f>
        <v>2101.7840000000001</v>
      </c>
      <c r="J292" s="133"/>
    </row>
    <row r="293" spans="1:10" ht="14.1" customHeight="1" x14ac:dyDescent="0.25">
      <c r="A293" s="218"/>
      <c r="B293" s="75"/>
      <c r="C293" s="260" t="s">
        <v>120</v>
      </c>
      <c r="D293" s="256">
        <v>1225</v>
      </c>
      <c r="E293" s="256">
        <v>1283</v>
      </c>
      <c r="F293" s="257">
        <f>12.4428</f>
        <v>12.4428</v>
      </c>
      <c r="G293" s="257">
        <f>1684.63207</f>
        <v>1684.6320700000001</v>
      </c>
      <c r="H293" s="257">
        <f t="shared" si="15"/>
        <v>-401.63207000000011</v>
      </c>
      <c r="I293" s="257">
        <f>1679.34466</f>
        <v>1679.34466</v>
      </c>
      <c r="J293" s="133"/>
    </row>
    <row r="294" spans="1:10" ht="14.1" customHeight="1" x14ac:dyDescent="0.25">
      <c r="A294" s="218"/>
      <c r="B294" s="75"/>
      <c r="C294" s="262" t="s">
        <v>126</v>
      </c>
      <c r="D294" s="263">
        <v>4103</v>
      </c>
      <c r="E294" s="263">
        <v>4194</v>
      </c>
      <c r="F294" s="257">
        <f>3.3324</f>
        <v>3.3323999999999998</v>
      </c>
      <c r="G294" s="257">
        <f>1028.296</f>
        <v>1028.296</v>
      </c>
      <c r="H294" s="257">
        <f t="shared" si="15"/>
        <v>3165.7039999999997</v>
      </c>
      <c r="I294" s="257">
        <f>2404.01425</f>
        <v>2404.0142500000002</v>
      </c>
      <c r="J294" s="133"/>
    </row>
    <row r="295" spans="1:10" ht="14.1" customHeight="1" x14ac:dyDescent="0.25">
      <c r="A295" s="218"/>
      <c r="B295" s="75"/>
      <c r="C295" s="265" t="s">
        <v>70</v>
      </c>
      <c r="D295" s="266">
        <v>5500</v>
      </c>
      <c r="E295" s="266">
        <v>5500</v>
      </c>
      <c r="F295" s="268">
        <f>0</f>
        <v>0</v>
      </c>
      <c r="G295" s="268">
        <f>4572.37976</f>
        <v>4572.3797599999998</v>
      </c>
      <c r="H295" s="268">
        <f t="shared" si="15"/>
        <v>927.62024000000019</v>
      </c>
      <c r="I295" s="268">
        <f>2312.80213</f>
        <v>2312.80213</v>
      </c>
      <c r="J295" s="133"/>
    </row>
    <row r="296" spans="1:10" ht="14.1" customHeight="1" x14ac:dyDescent="0.25">
      <c r="A296" s="218"/>
      <c r="B296" s="75"/>
      <c r="C296" s="247" t="s">
        <v>25</v>
      </c>
      <c r="D296" s="251">
        <v>8000</v>
      </c>
      <c r="E296" s="251">
        <v>8000</v>
      </c>
      <c r="F296" s="269">
        <f>F298+F297</f>
        <v>12.84089</v>
      </c>
      <c r="G296" s="269">
        <f>G298+G297</f>
        <v>4721.9705100000001</v>
      </c>
      <c r="H296" s="269">
        <f>E296-G296</f>
        <v>3278.0294899999999</v>
      </c>
      <c r="I296" s="269">
        <f>I298+I297</f>
        <v>3126.7888000000003</v>
      </c>
      <c r="J296" s="133"/>
    </row>
    <row r="297" spans="1:10" ht="14.1" customHeight="1" x14ac:dyDescent="0.25">
      <c r="A297" s="218"/>
      <c r="B297" s="75"/>
      <c r="C297" s="260" t="s">
        <v>62</v>
      </c>
      <c r="D297" s="271"/>
      <c r="E297" s="256"/>
      <c r="F297" s="257">
        <f>0</f>
        <v>0</v>
      </c>
      <c r="G297" s="257">
        <f>1158.2507</f>
        <v>1158.2507000000001</v>
      </c>
      <c r="H297" s="257"/>
      <c r="I297" s="257">
        <f>13.22733</f>
        <v>13.22733</v>
      </c>
      <c r="J297" s="133"/>
    </row>
    <row r="298" spans="1:10" ht="14.1" customHeight="1" x14ac:dyDescent="0.25">
      <c r="A298" s="218"/>
      <c r="B298" s="75"/>
      <c r="C298" s="273" t="s">
        <v>127</v>
      </c>
      <c r="D298" s="274"/>
      <c r="E298" s="277"/>
      <c r="F298" s="278">
        <f>12.84089</f>
        <v>12.84089</v>
      </c>
      <c r="G298" s="278">
        <f>3563.71981</f>
        <v>3563.7198100000001</v>
      </c>
      <c r="H298" s="278"/>
      <c r="I298" s="278">
        <f>3113.56147</f>
        <v>3113.5614700000001</v>
      </c>
      <c r="J298" s="133"/>
    </row>
    <row r="299" spans="1:10" ht="14.1" customHeight="1" x14ac:dyDescent="0.25">
      <c r="A299" s="218"/>
      <c r="B299" s="75"/>
      <c r="C299" s="265" t="s">
        <v>37</v>
      </c>
      <c r="D299" s="266">
        <v>10</v>
      </c>
      <c r="E299" s="266">
        <v>10</v>
      </c>
      <c r="F299" s="268">
        <f>0</f>
        <v>0</v>
      </c>
      <c r="G299" s="268">
        <f>0.4968</f>
        <v>0.49680000000000002</v>
      </c>
      <c r="H299" s="268">
        <f>E299-G299</f>
        <v>9.5031999999999996</v>
      </c>
      <c r="I299" s="268">
        <f>0.3915</f>
        <v>0.39150000000000001</v>
      </c>
      <c r="J299" s="133"/>
    </row>
    <row r="300" spans="1:10" ht="14.1" customHeight="1" x14ac:dyDescent="0.25">
      <c r="A300" s="218"/>
      <c r="B300" s="75"/>
      <c r="C300" s="279" t="s">
        <v>128</v>
      </c>
      <c r="D300" s="282"/>
      <c r="E300" s="283"/>
      <c r="F300" s="268">
        <f>1.6692</f>
        <v>1.6692</v>
      </c>
      <c r="G300" s="268">
        <f>244.57396</f>
        <v>244.57396</v>
      </c>
      <c r="H300" s="268">
        <f>E300-G300</f>
        <v>-244.57396</v>
      </c>
      <c r="I300" s="268">
        <f>32.92888</f>
        <v>32.928879999999999</v>
      </c>
      <c r="J300" s="133"/>
    </row>
    <row r="301" spans="1:10" ht="19.5" customHeight="1" x14ac:dyDescent="0.25">
      <c r="A301" s="218"/>
      <c r="B301" s="75"/>
      <c r="C301" s="285" t="s">
        <v>44</v>
      </c>
      <c r="D301" s="286">
        <f>D290+D295+D296+D299+D300</f>
        <v>22619</v>
      </c>
      <c r="E301" s="286">
        <f>E290+E295+E296+E299+E300</f>
        <v>25614</v>
      </c>
      <c r="F301" s="287">
        <f t="shared" ref="F301:I301" si="16">F290+F295+F296+F299+F300</f>
        <v>30.28529</v>
      </c>
      <c r="G301" s="287">
        <f t="shared" si="16"/>
        <v>19961.906650000001</v>
      </c>
      <c r="H301" s="287">
        <f>H290+H295+H296+H299+H300</f>
        <v>5652.0933500000001</v>
      </c>
      <c r="I301" s="287">
        <f t="shared" si="16"/>
        <v>19426.26611</v>
      </c>
      <c r="J301" s="133"/>
    </row>
    <row r="302" spans="1:10" ht="14.1" customHeight="1" x14ac:dyDescent="0.25">
      <c r="A302" s="218"/>
      <c r="B302" s="75"/>
      <c r="C302" s="165" t="s">
        <v>129</v>
      </c>
      <c r="D302" s="289"/>
      <c r="E302" s="289"/>
      <c r="F302" s="4"/>
      <c r="G302" s="4"/>
      <c r="H302" s="5"/>
      <c r="I302" s="5"/>
      <c r="J302" s="133"/>
    </row>
    <row r="303" spans="1:10" ht="14.1" customHeight="1" x14ac:dyDescent="0.25">
      <c r="A303" s="218"/>
      <c r="B303" s="75"/>
      <c r="C303" s="101" t="s">
        <v>130</v>
      </c>
      <c r="D303" s="289"/>
      <c r="E303" s="289"/>
      <c r="F303" s="4"/>
      <c r="G303" s="4"/>
      <c r="H303" s="7"/>
      <c r="I303" s="5"/>
      <c r="J303" s="133"/>
    </row>
    <row r="304" spans="1:10" ht="14.1" customHeight="1" x14ac:dyDescent="0.25">
      <c r="A304" s="218"/>
      <c r="B304" s="75"/>
      <c r="C304" s="101" t="s">
        <v>131</v>
      </c>
      <c r="D304" s="289"/>
      <c r="E304" s="289"/>
      <c r="F304" s="4"/>
      <c r="G304" s="4"/>
      <c r="H304" s="5"/>
      <c r="I304" s="7"/>
      <c r="J304" s="133"/>
    </row>
    <row r="305" spans="1:10" ht="15.75" customHeight="1" x14ac:dyDescent="0.25">
      <c r="A305" s="218"/>
      <c r="B305" s="8"/>
      <c r="C305" s="9"/>
      <c r="D305" s="110"/>
      <c r="E305" s="110"/>
      <c r="F305" s="110"/>
      <c r="G305" s="110"/>
      <c r="H305" s="110"/>
      <c r="I305" s="110"/>
      <c r="J305" s="12"/>
    </row>
    <row r="306" spans="1:10" ht="15.75" customHeight="1" x14ac:dyDescent="0.25">
      <c r="A306" s="218"/>
      <c r="B306" s="154" t="s">
        <v>141</v>
      </c>
      <c r="C306" s="14"/>
      <c r="D306" s="1"/>
      <c r="E306" s="1"/>
      <c r="F306" s="1"/>
      <c r="G306" s="1"/>
      <c r="H306" s="1"/>
      <c r="I306" s="1"/>
      <c r="J306" s="154"/>
    </row>
    <row r="307" spans="1:10" ht="15.75" customHeight="1" x14ac:dyDescent="0.25">
      <c r="A307" s="218"/>
      <c r="B307" s="154" t="s">
        <v>141</v>
      </c>
      <c r="C307" s="14"/>
      <c r="D307" s="1"/>
      <c r="E307" s="1"/>
      <c r="F307" s="1"/>
      <c r="G307" s="1"/>
      <c r="H307" s="1"/>
      <c r="I307" s="1"/>
      <c r="J307" s="154"/>
    </row>
    <row r="308" spans="1:10" ht="14.1" customHeight="1" x14ac:dyDescent="0.25">
      <c r="A308" s="218"/>
      <c r="C308" s="154" t="s">
        <v>141</v>
      </c>
      <c r="D308" s="161"/>
    </row>
    <row r="309" spans="1:10" ht="14.1" customHeight="1" x14ac:dyDescent="0.25">
      <c r="A309" s="218"/>
      <c r="B309" s="127"/>
      <c r="C309" s="239"/>
      <c r="D309" s="17"/>
      <c r="E309" s="239"/>
      <c r="F309" s="239"/>
      <c r="G309" s="239"/>
      <c r="H309" s="239"/>
      <c r="I309" s="239"/>
      <c r="J309" s="62"/>
    </row>
    <row r="310" spans="1:10" ht="14.1" customHeight="1" x14ac:dyDescent="0.25">
      <c r="A310" s="218"/>
      <c r="B310" s="75"/>
      <c r="C310" s="219" t="s">
        <v>132</v>
      </c>
      <c r="D310" s="161"/>
      <c r="E310" s="154"/>
      <c r="G310" s="154"/>
      <c r="H310" s="154"/>
      <c r="I310" s="154"/>
      <c r="J310" s="133"/>
    </row>
    <row r="311" spans="1:10" ht="14.1" customHeight="1" x14ac:dyDescent="0.25">
      <c r="A311" s="218"/>
      <c r="B311" s="75"/>
      <c r="C311" s="154"/>
      <c r="D311" s="161"/>
      <c r="E311" s="154"/>
      <c r="G311" s="154"/>
      <c r="H311" s="154"/>
      <c r="I311" s="154"/>
      <c r="J311" s="133"/>
    </row>
    <row r="312" spans="1:10" ht="14.1" customHeight="1" x14ac:dyDescent="0.25">
      <c r="A312" s="218"/>
      <c r="B312" s="75"/>
      <c r="C312" s="153" t="s">
        <v>133</v>
      </c>
      <c r="D312" s="189"/>
      <c r="E312" s="154"/>
      <c r="F312" s="154"/>
      <c r="G312" s="154"/>
      <c r="H312" s="154"/>
      <c r="I312" s="154"/>
      <c r="J312" s="133"/>
    </row>
    <row r="313" spans="1:10" ht="14.1" customHeight="1" x14ac:dyDescent="0.25">
      <c r="A313" s="218"/>
      <c r="B313" s="75"/>
      <c r="C313" s="259" t="s">
        <v>99</v>
      </c>
      <c r="D313" s="270">
        <v>4506</v>
      </c>
      <c r="E313" s="154"/>
      <c r="F313" s="154"/>
      <c r="G313" s="154"/>
      <c r="H313" s="154"/>
      <c r="I313" s="154"/>
      <c r="J313" s="133"/>
    </row>
    <row r="314" spans="1:10" ht="14.1" customHeight="1" x14ac:dyDescent="0.25">
      <c r="A314" s="218"/>
      <c r="B314" s="75"/>
      <c r="C314" s="248" t="s">
        <v>109</v>
      </c>
      <c r="D314" s="46">
        <v>3083</v>
      </c>
      <c r="E314" s="154"/>
      <c r="G314" s="154"/>
      <c r="H314" s="154"/>
      <c r="I314" s="154"/>
      <c r="J314" s="133"/>
    </row>
    <row r="315" spans="1:10" ht="14.1" customHeight="1" x14ac:dyDescent="0.25">
      <c r="A315" s="218"/>
      <c r="B315" s="75"/>
      <c r="C315" s="248" t="s">
        <v>88</v>
      </c>
      <c r="D315" s="46">
        <v>123</v>
      </c>
      <c r="E315" s="154"/>
      <c r="F315" s="154"/>
      <c r="G315" s="154"/>
      <c r="H315" s="154"/>
      <c r="I315" s="154"/>
      <c r="J315" s="133"/>
    </row>
    <row r="316" spans="1:10" ht="14.1" customHeight="1" x14ac:dyDescent="0.25">
      <c r="A316" s="218"/>
      <c r="B316" s="75"/>
      <c r="C316" s="57" t="s">
        <v>57</v>
      </c>
      <c r="D316" s="35">
        <v>7712</v>
      </c>
      <c r="E316" s="154"/>
      <c r="F316" s="154"/>
      <c r="G316" s="154"/>
      <c r="H316" s="154"/>
      <c r="I316" s="154"/>
      <c r="J316" s="133"/>
    </row>
    <row r="317" spans="1:10" ht="14.1" customHeight="1" x14ac:dyDescent="0.25">
      <c r="A317" s="218"/>
      <c r="B317" s="75"/>
      <c r="C317" s="228" t="s">
        <v>134</v>
      </c>
      <c r="D317" s="149"/>
      <c r="E317" s="154"/>
      <c r="F317" s="154"/>
      <c r="G317" s="154"/>
      <c r="H317" s="154"/>
      <c r="I317" s="154"/>
      <c r="J317" s="133"/>
    </row>
    <row r="318" spans="1:10" ht="14.1" customHeight="1" x14ac:dyDescent="0.25">
      <c r="A318" s="218"/>
      <c r="B318" s="75"/>
      <c r="C318" s="101" t="s">
        <v>135</v>
      </c>
      <c r="D318" s="134"/>
      <c r="E318" s="154"/>
      <c r="F318" s="154"/>
      <c r="G318" s="154"/>
      <c r="H318" s="154"/>
      <c r="I318" s="154"/>
      <c r="J318" s="133"/>
    </row>
    <row r="319" spans="1:10" ht="14.1" customHeight="1" x14ac:dyDescent="0.25">
      <c r="A319" s="218"/>
      <c r="B319" s="75"/>
      <c r="C319" s="154"/>
      <c r="D319" s="161"/>
      <c r="E319" s="154"/>
      <c r="F319" s="154"/>
      <c r="G319" s="154"/>
      <c r="H319" s="154"/>
      <c r="I319" s="154"/>
      <c r="J319" s="133"/>
    </row>
    <row r="320" spans="1:10" ht="14.1" customHeight="1" x14ac:dyDescent="0.25">
      <c r="A320" s="218"/>
      <c r="B320" s="75"/>
      <c r="C320" s="154"/>
      <c r="D320" s="154"/>
      <c r="E320" s="154"/>
      <c r="F320" s="154"/>
      <c r="G320" s="154"/>
      <c r="H320" s="154"/>
      <c r="I320" s="154"/>
      <c r="J320" s="133"/>
    </row>
    <row r="321" spans="1:10" ht="29.25" customHeight="1" x14ac:dyDescent="0.25">
      <c r="A321" s="218"/>
      <c r="B321" s="231"/>
      <c r="C321" s="234" t="s">
        <v>18</v>
      </c>
      <c r="D321" s="234"/>
      <c r="E321" s="234"/>
      <c r="F321" s="234"/>
      <c r="G321" s="234"/>
      <c r="H321" s="234"/>
      <c r="I321" s="234"/>
      <c r="J321" s="238"/>
    </row>
    <row r="322" spans="1:10" ht="78" customHeight="1" x14ac:dyDescent="0.25">
      <c r="A322" s="218"/>
      <c r="B322" s="203"/>
      <c r="C322" s="20" t="s">
        <v>136</v>
      </c>
      <c r="D322" s="22" t="s">
        <v>137</v>
      </c>
      <c r="E322" s="20" t="s">
        <v>142</v>
      </c>
      <c r="F322" s="20" t="s">
        <v>143</v>
      </c>
      <c r="G322" s="25" t="s">
        <v>144</v>
      </c>
      <c r="H322" s="20" t="s">
        <v>145</v>
      </c>
      <c r="I322" s="224"/>
      <c r="J322" s="13"/>
    </row>
    <row r="323" spans="1:10" ht="14.1" customHeight="1" x14ac:dyDescent="0.25">
      <c r="A323" s="218"/>
      <c r="B323" s="75"/>
      <c r="C323" s="265" t="s">
        <v>138</v>
      </c>
      <c r="D323" s="10">
        <v>1386</v>
      </c>
      <c r="E323" s="26">
        <f>E325+E324</f>
        <v>0</v>
      </c>
      <c r="F323" s="26">
        <f>F325+F324</f>
        <v>1386.9813300000001</v>
      </c>
      <c r="G323" s="88">
        <f>D323-F323</f>
        <v>-0.98133000000007087</v>
      </c>
      <c r="H323" s="26">
        <f>SUM(H324:H325)</f>
        <v>1809.92166</v>
      </c>
      <c r="I323" s="27"/>
      <c r="J323" s="133"/>
    </row>
    <row r="324" spans="1:10" ht="14.1" customHeight="1" x14ac:dyDescent="0.25">
      <c r="A324" s="218"/>
      <c r="B324" s="75"/>
      <c r="C324" s="29" t="s">
        <v>9</v>
      </c>
      <c r="D324" s="208"/>
      <c r="E324" s="209">
        <f>0</f>
        <v>0</v>
      </c>
      <c r="F324" s="209">
        <f>1081.99515</f>
        <v>1081.99515</v>
      </c>
      <c r="G324" s="210"/>
      <c r="H324" s="209">
        <f>1503.67411</f>
        <v>1503.6741099999999</v>
      </c>
      <c r="I324" s="154"/>
      <c r="J324" s="133"/>
    </row>
    <row r="325" spans="1:10" ht="14.1" customHeight="1" x14ac:dyDescent="0.25">
      <c r="A325" s="218"/>
      <c r="B325" s="75"/>
      <c r="C325" s="29" t="s">
        <v>12</v>
      </c>
      <c r="D325" s="211"/>
      <c r="E325" s="213">
        <f>0</f>
        <v>0</v>
      </c>
      <c r="F325" s="213">
        <f>304.98618</f>
        <v>304.98617999999999</v>
      </c>
      <c r="G325" s="214"/>
      <c r="H325" s="213">
        <f>306.24755</f>
        <v>306.24754999999999</v>
      </c>
      <c r="I325" s="154"/>
      <c r="J325" s="133"/>
    </row>
    <row r="326" spans="1:10" ht="14.1" customHeight="1" x14ac:dyDescent="0.25">
      <c r="A326" s="218"/>
      <c r="B326" s="75"/>
      <c r="C326" s="265" t="s">
        <v>139</v>
      </c>
      <c r="D326" s="10">
        <v>1560</v>
      </c>
      <c r="E326" s="26">
        <f>SUM(E327:E328)</f>
        <v>0</v>
      </c>
      <c r="F326" s="26">
        <f>SUM(F327:F328)</f>
        <v>1811.0628700000002</v>
      </c>
      <c r="G326" s="88">
        <f>D326-F326</f>
        <v>-251.0628700000002</v>
      </c>
      <c r="H326" s="26">
        <f>SUM(H327:H328)</f>
        <v>1302.9703000000002</v>
      </c>
      <c r="I326" s="27"/>
      <c r="J326" s="133"/>
    </row>
    <row r="327" spans="1:10" ht="14.1" customHeight="1" x14ac:dyDescent="0.25">
      <c r="A327" s="218"/>
      <c r="B327" s="75"/>
      <c r="C327" s="29" t="s">
        <v>9</v>
      </c>
      <c r="D327" s="44"/>
      <c r="E327" s="30">
        <f>0</f>
        <v>0</v>
      </c>
      <c r="F327" s="30">
        <f>1413.4299</f>
        <v>1413.4299000000001</v>
      </c>
      <c r="G327" s="100"/>
      <c r="H327" s="30">
        <f>1057.0956</f>
        <v>1057.0956000000001</v>
      </c>
      <c r="I327" s="154"/>
      <c r="J327" s="133"/>
    </row>
    <row r="328" spans="1:10" ht="14.1" customHeight="1" x14ac:dyDescent="0.25">
      <c r="A328" s="218"/>
      <c r="B328" s="75"/>
      <c r="C328" s="29" t="s">
        <v>12</v>
      </c>
      <c r="D328" s="221"/>
      <c r="E328" s="30">
        <f>0</f>
        <v>0</v>
      </c>
      <c r="F328" s="30">
        <f>397.63297</f>
        <v>397.63297</v>
      </c>
      <c r="G328" s="111"/>
      <c r="H328" s="30">
        <f>245.8747</f>
        <v>245.87469999999999</v>
      </c>
      <c r="I328" s="154"/>
      <c r="J328" s="133"/>
    </row>
    <row r="329" spans="1:10" ht="14.1" customHeight="1" x14ac:dyDescent="0.25">
      <c r="A329" s="218"/>
      <c r="B329" s="75"/>
      <c r="C329" s="265" t="s">
        <v>140</v>
      </c>
      <c r="D329" s="10">
        <v>1560</v>
      </c>
      <c r="E329" s="36">
        <f>SUM(E330:E331)</f>
        <v>57.606840000000005</v>
      </c>
      <c r="F329" s="36">
        <f>SUM(F330:F331)</f>
        <v>972.91175999999996</v>
      </c>
      <c r="G329" s="88">
        <f>D329-F329</f>
        <v>587.08824000000004</v>
      </c>
      <c r="H329" s="36">
        <f>SUM(H330:H331)</f>
        <v>778.92438000000004</v>
      </c>
      <c r="I329" s="154"/>
      <c r="J329" s="133"/>
    </row>
    <row r="330" spans="1:10" ht="14.1" customHeight="1" x14ac:dyDescent="0.25">
      <c r="A330" s="218"/>
      <c r="B330" s="75"/>
      <c r="C330" s="29" t="s">
        <v>9</v>
      </c>
      <c r="D330" s="44"/>
      <c r="E330" s="30">
        <f>42.094</f>
        <v>42.094000000000001</v>
      </c>
      <c r="F330" s="30">
        <f>764.20578</f>
        <v>764.20578</v>
      </c>
      <c r="G330" s="100"/>
      <c r="H330" s="30">
        <f>663.3078</f>
        <v>663.30780000000004</v>
      </c>
      <c r="I330" s="154"/>
      <c r="J330" s="133"/>
    </row>
    <row r="331" spans="1:10" ht="14.1" customHeight="1" x14ac:dyDescent="0.25">
      <c r="A331" s="218"/>
      <c r="B331" s="75"/>
      <c r="C331" s="29" t="s">
        <v>12</v>
      </c>
      <c r="D331" s="221"/>
      <c r="E331" s="30">
        <f>15.51284</f>
        <v>15.512840000000001</v>
      </c>
      <c r="F331" s="30">
        <f>208.70598</f>
        <v>208.70598000000001</v>
      </c>
      <c r="G331" s="111"/>
      <c r="H331" s="30">
        <f>115.61658</f>
        <v>115.61658</v>
      </c>
      <c r="I331" s="154"/>
      <c r="J331" s="133"/>
    </row>
    <row r="332" spans="1:10" ht="14.1" customHeight="1" x14ac:dyDescent="0.25">
      <c r="A332" s="218"/>
      <c r="B332" s="75"/>
      <c r="C332" s="279" t="s">
        <v>115</v>
      </c>
      <c r="D332" s="37"/>
      <c r="E332" s="39"/>
      <c r="F332" s="39"/>
      <c r="G332" s="40"/>
      <c r="H332" s="39"/>
      <c r="I332" s="154"/>
      <c r="J332" s="133"/>
    </row>
    <row r="333" spans="1:10" ht="14.1" customHeight="1" x14ac:dyDescent="0.25">
      <c r="A333" s="218"/>
      <c r="B333" s="75"/>
      <c r="C333" s="285" t="s">
        <v>105</v>
      </c>
      <c r="D333" s="41">
        <f>D323+D326+D329</f>
        <v>4506</v>
      </c>
      <c r="E333" s="42">
        <f>E323+E326+E329+E332</f>
        <v>57.606840000000005</v>
      </c>
      <c r="F333" s="42">
        <f>F323+F326+F329+F332</f>
        <v>4170.9559600000002</v>
      </c>
      <c r="G333" s="43">
        <f>SUM(G323:G332)</f>
        <v>335.04403999999977</v>
      </c>
      <c r="H333" s="42">
        <f>H323+H326+H329+H332</f>
        <v>3891.8163399999999</v>
      </c>
      <c r="I333" s="27"/>
      <c r="J333" s="133"/>
    </row>
    <row r="334" spans="1:10" ht="14.1" customHeight="1" x14ac:dyDescent="0.25">
      <c r="A334" s="218"/>
      <c r="B334" s="75"/>
      <c r="C334" s="154"/>
      <c r="D334" s="161"/>
      <c r="E334" s="154"/>
      <c r="F334" s="154"/>
      <c r="G334" s="154"/>
      <c r="H334" s="154"/>
      <c r="I334" s="154"/>
      <c r="J334" s="133"/>
    </row>
    <row r="335" spans="1:10" ht="14.1" customHeight="1" x14ac:dyDescent="0.25">
      <c r="A335" s="218"/>
      <c r="B335" s="8"/>
      <c r="C335" s="212"/>
      <c r="D335" s="204"/>
      <c r="E335" s="212"/>
      <c r="F335" s="212"/>
      <c r="G335" s="212"/>
      <c r="H335" s="212"/>
      <c r="I335" s="212"/>
      <c r="J335" s="12"/>
    </row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16.5" customHeight="1" x14ac:dyDescent="0.25"/>
  </sheetData>
  <mergeCells count="11">
    <mergeCell ref="C53:H53"/>
    <mergeCell ref="D56:D60"/>
    <mergeCell ref="G56:G60"/>
    <mergeCell ref="C82:D82"/>
    <mergeCell ref="E82:F82"/>
    <mergeCell ref="G82:H82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Footer>&amp;L&amp;8Fiskeridirektoratet&amp;C&amp;8Reguleringsseksjonen&amp;R&amp;8Amund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2022-11-21T07:53:43Z</dcterms:modified>
</cp:coreProperties>
</file>