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6EA0EBDC-2B5F-42E7-925D-C181AE5A6E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F327" i="1" s="1"/>
  <c r="G327" i="1" s="1"/>
  <c r="E329" i="1"/>
  <c r="E327" i="1" s="1"/>
  <c r="H328" i="1"/>
  <c r="H327" i="1" s="1"/>
  <c r="F328" i="1"/>
  <c r="E328" i="1"/>
  <c r="H326" i="1"/>
  <c r="H324" i="1" s="1"/>
  <c r="F326" i="1"/>
  <c r="E326" i="1"/>
  <c r="H325" i="1"/>
  <c r="F325" i="1"/>
  <c r="E325" i="1"/>
  <c r="E324" i="1" s="1"/>
  <c r="F324" i="1"/>
  <c r="G324" i="1" s="1"/>
  <c r="H323" i="1"/>
  <c r="F323" i="1"/>
  <c r="F321" i="1" s="1"/>
  <c r="E323" i="1"/>
  <c r="H322" i="1"/>
  <c r="F322" i="1"/>
  <c r="E322" i="1"/>
  <c r="E321" i="1" s="1"/>
  <c r="E331" i="1" s="1"/>
  <c r="H321" i="1"/>
  <c r="E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F294" i="1" s="1"/>
  <c r="I294" i="1"/>
  <c r="I293" i="1"/>
  <c r="G293" i="1"/>
  <c r="H293" i="1" s="1"/>
  <c r="F293" i="1"/>
  <c r="I292" i="1"/>
  <c r="I288" i="1" s="1"/>
  <c r="I299" i="1" s="1"/>
  <c r="H292" i="1"/>
  <c r="G292" i="1"/>
  <c r="F292" i="1"/>
  <c r="I291" i="1"/>
  <c r="G291" i="1"/>
  <c r="G288" i="1" s="1"/>
  <c r="F291" i="1"/>
  <c r="F288" i="1" s="1"/>
  <c r="F299" i="1" s="1"/>
  <c r="I290" i="1"/>
  <c r="H290" i="1"/>
  <c r="G290" i="1"/>
  <c r="F290" i="1"/>
  <c r="I289" i="1"/>
  <c r="G289" i="1"/>
  <c r="H289" i="1" s="1"/>
  <c r="F289" i="1"/>
  <c r="E288" i="1"/>
  <c r="D288" i="1"/>
  <c r="D299" i="1" s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F207" i="1"/>
  <c r="G207" i="1" s="1"/>
  <c r="E207" i="1"/>
  <c r="D207" i="1"/>
  <c r="G206" i="1"/>
  <c r="H205" i="1"/>
  <c r="F205" i="1"/>
  <c r="G205" i="1" s="1"/>
  <c r="E205" i="1"/>
  <c r="H204" i="1"/>
  <c r="H207" i="1" s="1"/>
  <c r="G204" i="1"/>
  <c r="F204" i="1"/>
  <c r="E204" i="1"/>
  <c r="D184" i="1"/>
  <c r="H182" i="1"/>
  <c r="G182" i="1"/>
  <c r="F182" i="1"/>
  <c r="E182" i="1"/>
  <c r="H181" i="1"/>
  <c r="F181" i="1"/>
  <c r="E181" i="1"/>
  <c r="H180" i="1"/>
  <c r="H178" i="1" s="1"/>
  <c r="F180" i="1"/>
  <c r="F178" i="1" s="1"/>
  <c r="G178" i="1" s="1"/>
  <c r="E180" i="1"/>
  <c r="H179" i="1"/>
  <c r="F179" i="1"/>
  <c r="E179" i="1"/>
  <c r="E178" i="1"/>
  <c r="H177" i="1"/>
  <c r="F177" i="1"/>
  <c r="G177" i="1" s="1"/>
  <c r="E177" i="1"/>
  <c r="H176" i="1"/>
  <c r="F176" i="1"/>
  <c r="G175" i="1" s="1"/>
  <c r="E176" i="1"/>
  <c r="E184" i="1" s="1"/>
  <c r="H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H139" i="1" s="1"/>
  <c r="F141" i="1"/>
  <c r="F139" i="1" s="1"/>
  <c r="I140" i="1"/>
  <c r="I139" i="1" s="1"/>
  <c r="H140" i="1"/>
  <c r="G140" i="1"/>
  <c r="F140" i="1"/>
  <c r="G139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G134" i="1"/>
  <c r="G133" i="1" s="1"/>
  <c r="F135" i="1"/>
  <c r="F134" i="1" s="1"/>
  <c r="E134" i="1"/>
  <c r="E133" i="1" s="1"/>
  <c r="E150" i="1" s="1"/>
  <c r="I132" i="1"/>
  <c r="H132" i="1"/>
  <c r="F132" i="1"/>
  <c r="H131" i="1"/>
  <c r="I130" i="1"/>
  <c r="I128" i="1" s="1"/>
  <c r="G130" i="1"/>
  <c r="H130" i="1" s="1"/>
  <c r="F130" i="1"/>
  <c r="I129" i="1"/>
  <c r="G129" i="1"/>
  <c r="G128" i="1" s="1"/>
  <c r="F129" i="1"/>
  <c r="F128" i="1" s="1"/>
  <c r="E128" i="1"/>
  <c r="C126" i="1"/>
  <c r="D107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F96" i="1" s="1"/>
  <c r="F95" i="1" s="1"/>
  <c r="I96" i="1"/>
  <c r="I95" i="1" s="1"/>
  <c r="G96" i="1"/>
  <c r="G95" i="1" s="1"/>
  <c r="E96" i="1"/>
  <c r="E95" i="1"/>
  <c r="E107" i="1" s="1"/>
  <c r="I94" i="1"/>
  <c r="G94" i="1"/>
  <c r="H94" i="1" s="1"/>
  <c r="F94" i="1"/>
  <c r="I93" i="1"/>
  <c r="G93" i="1"/>
  <c r="G92" i="1" s="1"/>
  <c r="F93" i="1"/>
  <c r="F92" i="1" s="1"/>
  <c r="F107" i="1" s="1"/>
  <c r="I92" i="1"/>
  <c r="I107" i="1" s="1"/>
  <c r="C89" i="1"/>
  <c r="H85" i="1"/>
  <c r="F85" i="1"/>
  <c r="D85" i="1"/>
  <c r="G61" i="1"/>
  <c r="G60" i="1"/>
  <c r="H55" i="1"/>
  <c r="F55" i="1"/>
  <c r="G55" i="1" s="1"/>
  <c r="E55" i="1"/>
  <c r="F32" i="1" s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I34" i="1" s="1"/>
  <c r="H36" i="1"/>
  <c r="G36" i="1"/>
  <c r="F36" i="1"/>
  <c r="I35" i="1"/>
  <c r="G35" i="1"/>
  <c r="G34" i="1" s="1"/>
  <c r="F35" i="1"/>
  <c r="F34" i="1" s="1"/>
  <c r="F26" i="1" s="1"/>
  <c r="E34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F27" i="1" s="1"/>
  <c r="I28" i="1"/>
  <c r="I27" i="1" s="1"/>
  <c r="G28" i="1"/>
  <c r="H28" i="1" s="1"/>
  <c r="H27" i="1" s="1"/>
  <c r="F28" i="1"/>
  <c r="G27" i="1"/>
  <c r="E27" i="1"/>
  <c r="E26" i="1" s="1"/>
  <c r="I25" i="1"/>
  <c r="G25" i="1"/>
  <c r="H25" i="1" s="1"/>
  <c r="F25" i="1"/>
  <c r="I24" i="1"/>
  <c r="G24" i="1"/>
  <c r="H24" i="1" s="1"/>
  <c r="F24" i="1"/>
  <c r="F23" i="1" s="1"/>
  <c r="I23" i="1"/>
  <c r="G23" i="1"/>
  <c r="E23" i="1"/>
  <c r="E44" i="1" s="1"/>
  <c r="H16" i="1"/>
  <c r="F16" i="1"/>
  <c r="D16" i="1"/>
  <c r="G150" i="1" l="1"/>
  <c r="G321" i="1"/>
  <c r="G331" i="1" s="1"/>
  <c r="F331" i="1"/>
  <c r="G26" i="1"/>
  <c r="H34" i="1"/>
  <c r="H26" i="1" s="1"/>
  <c r="H23" i="1"/>
  <c r="H44" i="1" s="1"/>
  <c r="G184" i="1"/>
  <c r="G299" i="1"/>
  <c r="H331" i="1"/>
  <c r="I133" i="1"/>
  <c r="I150" i="1" s="1"/>
  <c r="G44" i="1"/>
  <c r="G107" i="1"/>
  <c r="I44" i="1"/>
  <c r="F133" i="1"/>
  <c r="F150" i="1" s="1"/>
  <c r="F44" i="1"/>
  <c r="I26" i="1"/>
  <c r="H96" i="1"/>
  <c r="H95" i="1" s="1"/>
  <c r="H184" i="1"/>
  <c r="H93" i="1"/>
  <c r="H92" i="1" s="1"/>
  <c r="H107" i="1" s="1"/>
  <c r="H129" i="1"/>
  <c r="H128" i="1" s="1"/>
  <c r="H291" i="1"/>
  <c r="H288" i="1" s="1"/>
  <c r="H299" i="1" s="1"/>
  <c r="H35" i="1"/>
  <c r="H135" i="1"/>
  <c r="H134" i="1" s="1"/>
  <c r="H133" i="1" s="1"/>
  <c r="F184" i="1"/>
  <c r="H150" i="1" l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<sst xmlns="http://schemas.openxmlformats.org/spreadsheetml/2006/main" count="328" uniqueCount="146">
  <si>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</si>
  <si>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</si>
  <si>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</si>
  <si>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</si>
  <si>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</si>
  <si>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</si>
  <si>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</si>
  <si>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</si>
  <si>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</si>
  <si>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</si>
  <si>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</si>
  <si>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</si>
  <si>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</si>
  <si>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</si>
  <si>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</si>
  <si>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</si>
  <si>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</si>
  <si>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</si>
  <si>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</si>
  <si>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</si>
  <si>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</si>
  <si>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</si>
  <si>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</si>
  <si>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</si>
  <si>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</si>
  <si>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</si>
  <si>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</si>
  <si>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</si>
  <si>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</si>
  <si>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</si>
  <si>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</si>
  <si>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</si>
  <si>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</si>
  <si>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</si>
  <si>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</si>
  <si>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</si>
  <si>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</si>
  <si>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</si>
  <si>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</si>
  <si>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</si>
  <si>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</si>
  <si>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</si>
  <si>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</si>
  <si>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</si>
  <si>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</si>
  <si>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</si>
  <si>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</si>
  <si>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</si>
  <si>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</si>
  <si>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</si>
  <si>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</si>
  <si>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</si>
  <si>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</si>
  <si>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</si>
  <si>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</si>
  <si>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</si>
  <si>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</si>
  <si>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</si>
  <si>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</si>
  <si>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</si>
  <si>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</si>
  <si>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</si>
  <si>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</si>
  <si>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</si>
  <si>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</si>
  <si>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</si>
  <si>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</si>
  <si>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</si>
  <si>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</si>
  <si>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</si>
  <si>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</si>
  <si>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</si>
  <si>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</si>
  <si>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</si>
  <si>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</si>
  <si>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</si>
  <si>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</si>
  <si>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</si>
  <si>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</si>
  <si>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</si>
  <si>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</si>
  <si>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</si>
  <si>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</si>
  <si>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</si>
  <si>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</si>
  <si>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</si>
  <si>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</si>
  <si>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</si>
  <si>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</si>
  <si>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</si>
  <si>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</si>
  <si>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</si>
  <si>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</si>
  <si>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</si>
  <si>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</si>
  <si>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</si>
  <si>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</si>
  <si>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</si>
  <si>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</si>
  <si>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</si>
  <si>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</si>
  <si>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</si>
  <si>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</si>
  <si>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</si>
  <si>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</si>
  <si>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</si>
  <si>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</si>
  <si>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</si>
  <si>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</si>
  <si>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</si>
  <si>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</si>
  <si>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</si>
  <si>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</si>
  <si>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</si>
  <si>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</si>
  <si>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</si>
  <si>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</si>
  <si>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</si>
  <si>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</si>
  <si>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</si>
  <si>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</si>
  <si>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</si>
  <si>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</si>
  <si>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</si>
  <si>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</si>
  <si>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</si>
  <si>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</si>
  <si>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</si>
  <si>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</si>
  <si>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</si>
  <si>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</si>
  <si>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</si>
  <si>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</si>
  <si>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</si>
  <si>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</si>
  <si>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</si>
  <si>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</si>
  <si>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</si>
  <si>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10</t>
  </si>
  <si>
    <t>FANGST T.O.M UKE 10</t>
  </si>
  <si>
    <t>RESTKVOTER UKE 10</t>
  </si>
  <si>
    <t>FANGST T.O.M UKE 10 2022</t>
  </si>
  <si>
    <r>
      <t>3</t>
    </r>
    <r>
      <rPr>
        <sz val="9"/>
        <color indexed="8"/>
        <rFont val="Calibri"/>
        <family val="2"/>
      </rPr>
      <t xml:space="preserve"> Det er fisket 363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</si>
  <si>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163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</si>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</sst>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G74" sqref="G7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567.72</v>
      </c>
      <c r="G23" s="28">
        <f t="shared" si="0"/>
        <v>23476.803459999999</v>
      </c>
      <c r="H23" s="11">
        <f t="shared" si="0"/>
        <v>60576.196540000004</v>
      </c>
      <c r="I23" s="11">
        <f t="shared" si="0"/>
        <v>32081.900659999999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567.4425</f>
        <v>567.4425</v>
      </c>
      <c r="G24" s="23">
        <f>23421.10096</f>
        <v>23421.10096</v>
      </c>
      <c r="H24" s="23">
        <f>E24-G24</f>
        <v>59849.899040000004</v>
      </c>
      <c r="I24" s="23">
        <f>32033.02188</f>
        <v>32033.02188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0.2775</f>
        <v>0.27750000000000002</v>
      </c>
      <c r="G25" s="23">
        <f>55.7025</f>
        <v>55.702500000000001</v>
      </c>
      <c r="H25" s="23">
        <f>E25-G25</f>
        <v>726.29750000000001</v>
      </c>
      <c r="I25" s="23">
        <f>48.87878</f>
        <v>48.878779999999999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12821.73105</v>
      </c>
      <c r="G26" s="11">
        <f t="shared" si="1"/>
        <v>57939.191379999997</v>
      </c>
      <c r="H26" s="11">
        <f t="shared" si="1"/>
        <v>133735.80862</v>
      </c>
      <c r="I26" s="11">
        <f t="shared" si="1"/>
        <v>83997.245220000012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10776.04501</v>
      </c>
      <c r="G27" s="134">
        <f t="shared" si="2"/>
        <v>46274.560469999997</v>
      </c>
      <c r="H27" s="134">
        <f t="shared" si="2"/>
        <v>101766.43953</v>
      </c>
      <c r="I27" s="134">
        <f t="shared" si="2"/>
        <v>71398.14751000001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2978.64016</f>
        <v>2978.6401599999999</v>
      </c>
      <c r="G28" s="129">
        <f>10528.38792 - F57</f>
        <v>10528.387919999999</v>
      </c>
      <c r="H28" s="129">
        <f t="shared" ref="H28:H40" si="3">E28-G28</f>
        <v>27832.612079999999</v>
      </c>
      <c r="I28" s="129">
        <f>16396.74744 - H57</f>
        <v>16396.747439999999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3214.97544</f>
        <v>3214.9754400000002</v>
      </c>
      <c r="G29" s="129">
        <f>13949.25613 - F58</f>
        <v>13949.25613</v>
      </c>
      <c r="H29" s="129">
        <f t="shared" si="3"/>
        <v>25569.743869999998</v>
      </c>
      <c r="I29" s="129">
        <f>23012.68229 - H58</f>
        <v>23012.682290000001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2831.70885</f>
        <v>2831.70885</v>
      </c>
      <c r="G30" s="129">
        <f>11446.5721 - F59</f>
        <v>11446.572099999999</v>
      </c>
      <c r="H30" s="129">
        <f t="shared" si="3"/>
        <v>24561.427900000002</v>
      </c>
      <c r="I30" s="129">
        <f>18010.53122 - H59</f>
        <v>18010.531220000001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1750.72056</f>
        <v>1750.72056</v>
      </c>
      <c r="G31" s="129">
        <f>10350.34432 - F60</f>
        <v>10350.34432</v>
      </c>
      <c r="H31" s="129">
        <f t="shared" si="3"/>
        <v>14138.65568</v>
      </c>
      <c r="I31" s="129">
        <f>13978.18656 - H60</f>
        <v>13978.18656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613.7971</f>
        <v>613.7971</v>
      </c>
      <c r="G33" s="134">
        <f>6930.36887</f>
        <v>6930.3688700000002</v>
      </c>
      <c r="H33" s="134">
        <f t="shared" si="3"/>
        <v>15900.63113</v>
      </c>
      <c r="I33" s="134">
        <f>7575.2337</f>
        <v>7575.2336999999998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1431.88894</v>
      </c>
      <c r="G34" s="134">
        <f>G35+G36</f>
        <v>4734.2620399999996</v>
      </c>
      <c r="H34" s="134">
        <f t="shared" si="3"/>
        <v>16068.73796</v>
      </c>
      <c r="I34" s="134">
        <f>I35+I36</f>
        <v>5023.8640100000002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1431.88894</f>
        <v>1431.88894</v>
      </c>
      <c r="G35" s="134">
        <f>4734.26204 - F61 - F62</f>
        <v>4734.2620399999996</v>
      </c>
      <c r="H35" s="129">
        <f t="shared" si="3"/>
        <v>14868.73796</v>
      </c>
      <c r="I35" s="129">
        <f>5023.86401 - H61 - H62</f>
        <v>5023.8640100000002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18.7917</f>
        <v>18.791699999999999</v>
      </c>
      <c r="G37" s="141">
        <f>18.7917</f>
        <v>18.791699999999999</v>
      </c>
      <c r="H37" s="141">
        <f t="shared" si="3"/>
        <v>2981.2082999999998</v>
      </c>
      <c r="I37" s="141">
        <f>74.06367</f>
        <v>74.063670000000002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24.25425</f>
        <v>24.254249999999999</v>
      </c>
      <c r="G38" s="100">
        <f>99.39443</f>
        <v>99.39443</v>
      </c>
      <c r="H38" s="100">
        <f t="shared" si="3"/>
        <v>751.60556999999994</v>
      </c>
      <c r="I38" s="100">
        <f>171.77984</f>
        <v>171.77984000000001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0</v>
      </c>
      <c r="H39" s="100">
        <f t="shared" si="3"/>
        <v>3048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52.59702</f>
        <v>52.597020000000001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13485.097019999999</v>
      </c>
      <c r="G44" s="78">
        <f t="shared" si="4"/>
        <v>88613.741970000032</v>
      </c>
      <c r="H44" s="78">
        <f t="shared" si="4"/>
        <v>201413.25803</v>
      </c>
      <c r="I44" s="78">
        <f t="shared" si="4"/>
        <v>123445.92782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143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365.47818000000001</v>
      </c>
      <c r="G92" s="11">
        <f t="shared" si="5"/>
        <v>4859.9062700000004</v>
      </c>
      <c r="H92" s="11">
        <f t="shared" si="5"/>
        <v>31375.093730000001</v>
      </c>
      <c r="I92" s="11">
        <f t="shared" si="5"/>
        <v>12800.690930000001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358.56078</f>
        <v>358.56078000000002</v>
      </c>
      <c r="G93" s="23">
        <f>4807.90607</f>
        <v>4807.90607</v>
      </c>
      <c r="H93" s="23">
        <f>E93-G93</f>
        <v>30615.093929999999</v>
      </c>
      <c r="I93" s="23">
        <f>12752.74604</f>
        <v>12752.74604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6.9174</f>
        <v>6.9173999999999998</v>
      </c>
      <c r="G94" s="52">
        <f>52.0002</f>
        <v>52.0002</v>
      </c>
      <c r="H94" s="52">
        <f>E94-G94</f>
        <v>759.99980000000005</v>
      </c>
      <c r="I94" s="52">
        <f>47.94489</f>
        <v>47.944890000000001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1124.7588599999999</v>
      </c>
      <c r="G95" s="11">
        <f t="shared" si="6"/>
        <v>7604.9174399999993</v>
      </c>
      <c r="H95" s="11">
        <f t="shared" si="6"/>
        <v>54534.082559999995</v>
      </c>
      <c r="I95" s="11">
        <f t="shared" si="6"/>
        <v>10533.0509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695.20866000000001</v>
      </c>
      <c r="G96" s="134">
        <f t="shared" si="7"/>
        <v>4339.4785099999999</v>
      </c>
      <c r="H96" s="134">
        <f t="shared" si="7"/>
        <v>42180.521489999999</v>
      </c>
      <c r="I96" s="134">
        <f t="shared" si="7"/>
        <v>7016.2347900000004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83.52341</f>
        <v>83.523409999999998</v>
      </c>
      <c r="G97" s="129">
        <f>1170.21192</f>
        <v>1170.21192</v>
      </c>
      <c r="H97" s="129">
        <f t="shared" ref="H97:H104" si="8">E97-G97</f>
        <v>11289.78808</v>
      </c>
      <c r="I97" s="129">
        <f>1415.56551</f>
        <v>1415.5655099999999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160.84348</f>
        <v>160.84348</v>
      </c>
      <c r="G98" s="129">
        <f>1476.54597</f>
        <v>1476.5459699999999</v>
      </c>
      <c r="H98" s="129">
        <f t="shared" si="8"/>
        <v>11911.454030000001</v>
      </c>
      <c r="I98" s="129">
        <f>2533.85899</f>
        <v>2533.8589900000002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134.06445</f>
        <v>134.06444999999999</v>
      </c>
      <c r="G99" s="129">
        <f>922.27579</f>
        <v>922.27579000000003</v>
      </c>
      <c r="H99" s="129">
        <f t="shared" si="8"/>
        <v>11569.72421</v>
      </c>
      <c r="I99" s="129">
        <f>2043.79862</f>
        <v>2043.79862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316.77732</f>
        <v>316.77731999999997</v>
      </c>
      <c r="G100" s="129">
        <f>770.44483</f>
        <v>770.44483000000002</v>
      </c>
      <c r="H100" s="129">
        <f t="shared" si="8"/>
        <v>7409.5551699999996</v>
      </c>
      <c r="I100" s="129">
        <f>1023.01167</f>
        <v>1023.01167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365.43026</f>
        <v>365.43025999999998</v>
      </c>
      <c r="G101" s="134">
        <f>2633.07422</f>
        <v>2633.07422</v>
      </c>
      <c r="H101" s="134">
        <f t="shared" si="8"/>
        <v>8179.9257799999996</v>
      </c>
      <c r="I101" s="134">
        <f>3100.21212</f>
        <v>3100.2121200000001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64.11994</f>
        <v>64.11994</v>
      </c>
      <c r="G102" s="77">
        <f>632.36471</f>
        <v>632.36470999999995</v>
      </c>
      <c r="H102" s="77">
        <f t="shared" si="8"/>
        <v>4173.6352900000002</v>
      </c>
      <c r="I102" s="77">
        <f>416.60399</f>
        <v>416.60399000000001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0.07391</f>
        <v>7.3910000000000003E-2</v>
      </c>
      <c r="G103" s="100">
        <f>0.4146</f>
        <v>0.41460000000000002</v>
      </c>
      <c r="H103" s="100">
        <f t="shared" si="8"/>
        <v>389.58539999999999</v>
      </c>
      <c r="I103" s="100">
        <f>20.15377</f>
        <v>20.153770000000002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3.53896</f>
        <v>3.5389599999999999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1493.8499100000001</v>
      </c>
      <c r="G107" s="78">
        <f t="shared" si="9"/>
        <v>12774.006109999988</v>
      </c>
      <c r="H107" s="78">
        <f t="shared" si="9"/>
        <v>86339.993890000012</v>
      </c>
      <c r="I107" s="78">
        <f t="shared" si="9"/>
        <v>23697.630379999999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144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822.93814999999995</v>
      </c>
      <c r="G128" s="11">
        <f t="shared" si="10"/>
        <v>21807.144130000001</v>
      </c>
      <c r="H128" s="11">
        <f t="shared" si="10"/>
        <v>48733.855869999999</v>
      </c>
      <c r="I128" s="11">
        <f t="shared" si="10"/>
        <v>16296.854380000001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490.16745</f>
        <v>490.16744999999997</v>
      </c>
      <c r="G129" s="23">
        <f>19113.24368</f>
        <v>19113.24368</v>
      </c>
      <c r="H129" s="23">
        <f>E129-G129</f>
        <v>36978.75632</v>
      </c>
      <c r="I129" s="23">
        <f>12916.80995</f>
        <v>12916.809950000001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332.7707</f>
        <v>332.77069999999998</v>
      </c>
      <c r="G130" s="23">
        <f>2693.90045</f>
        <v>2693.9004500000001</v>
      </c>
      <c r="H130" s="23">
        <f>E130-G130</f>
        <v>11255.099549999999</v>
      </c>
      <c r="I130" s="23">
        <f>3380.04443</f>
        <v>3380.0444299999999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1.932</f>
        <v>1.9319999999999999</v>
      </c>
      <c r="G132" s="97">
        <f>13.04995+362.89141</f>
        <v>375.94136000000003</v>
      </c>
      <c r="H132" s="97">
        <f>E132-G132</f>
        <v>48796.058640000003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2555.7268600000002</v>
      </c>
      <c r="G133" s="96">
        <f t="shared" ref="G133" si="11">G134+G139+G142</f>
        <v>27011.46833</v>
      </c>
      <c r="H133" s="96">
        <f>H134+H139+H142</f>
        <v>53928.531670000004</v>
      </c>
      <c r="I133" s="96">
        <f>I134+I139+I142</f>
        <v>22565.816170000002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2217.9896600000002</v>
      </c>
      <c r="G134" s="127">
        <f>G135+G136+G138+G137</f>
        <v>23866.820210000002</v>
      </c>
      <c r="H134" s="127">
        <f>H135+H136+H137+H138</f>
        <v>35637.179790000002</v>
      </c>
      <c r="I134" s="127">
        <f>I135+I136+I137+I138</f>
        <v>19300.26022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225.27946</f>
        <v>225.27946</v>
      </c>
      <c r="G135" s="129">
        <v>3824.5669499999999</v>
      </c>
      <c r="H135" s="129">
        <f>E135-G135</f>
        <v>13679.43305</v>
      </c>
      <c r="I135" s="129">
        <f>2758.63882</f>
        <v>2758.6388200000001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621.06372</f>
        <v>621.06371999999999</v>
      </c>
      <c r="G136" s="129">
        <v>7454.2166200000001</v>
      </c>
      <c r="H136" s="129">
        <f>E136-G136</f>
        <v>7629.7833799999999</v>
      </c>
      <c r="I136" s="129">
        <f>5996.13449</f>
        <v>5996.1344900000004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527.81917</f>
        <v>527.81916999999999</v>
      </c>
      <c r="G137" s="129">
        <v>5806.7609000000002</v>
      </c>
      <c r="H137" s="129">
        <f>E137-G137</f>
        <v>9216.2390999999989</v>
      </c>
      <c r="I137" s="129">
        <f>5547.08116</f>
        <v>5547.0811599999997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843.82731</f>
        <v>843.82731000000001</v>
      </c>
      <c r="G138" s="129">
        <v>6781.27574</v>
      </c>
      <c r="H138" s="129">
        <f>E138-G138</f>
        <v>5111.72426</v>
      </c>
      <c r="I138" s="129">
        <f>4998.40575</f>
        <v>4998.4057499999999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179.51240000000001</v>
      </c>
      <c r="G139" s="134">
        <f>SUM(G140:G141)</f>
        <v>1717.78864</v>
      </c>
      <c r="H139" s="134">
        <f>H140+H141</f>
        <v>7714.2113599999993</v>
      </c>
      <c r="I139" s="134">
        <f>SUM(I140:I141)</f>
        <v>2161.9125599999998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165.20085</f>
        <v>165.20085</v>
      </c>
      <c r="G140" s="129">
        <f>1539.04575</f>
        <v>1539.04575</v>
      </c>
      <c r="H140" s="129">
        <f t="shared" ref="H140:H147" si="12">E140-G140</f>
        <v>7392.9542499999998</v>
      </c>
      <c r="I140" s="129">
        <f>2103.22516</f>
        <v>2103.22516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14.31155</f>
        <v>14.31155</v>
      </c>
      <c r="G141" s="129">
        <f>178.74289</f>
        <v>178.74288999999999</v>
      </c>
      <c r="H141" s="129">
        <f t="shared" si="12"/>
        <v>321.25711000000001</v>
      </c>
      <c r="I141" s="129">
        <f>58.6874</f>
        <v>58.687399999999997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158.2248</f>
        <v>158.22479999999999</v>
      </c>
      <c r="G142" s="77">
        <f>1426.85948</f>
        <v>1426.8594800000001</v>
      </c>
      <c r="H142" s="77">
        <f t="shared" si="12"/>
        <v>10577.140520000001</v>
      </c>
      <c r="I142" s="77">
        <f>1103.64339</f>
        <v>1103.64339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0.3752</f>
        <v>0.37519999999999998</v>
      </c>
      <c r="G143" s="141">
        <f>2.42098</f>
        <v>2.4209800000000001</v>
      </c>
      <c r="H143" s="141">
        <f t="shared" si="12"/>
        <v>134.57902000000001</v>
      </c>
      <c r="I143" s="141">
        <f>17.82779</f>
        <v>17.82779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11.88163</f>
        <v>11.881629999999999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3392.8538400000002</v>
      </c>
      <c r="G150" s="78">
        <f>G128+G132+G133+G143+G144+G145+G146+G147+G148</f>
        <v>51196.974800000004</v>
      </c>
      <c r="H150" s="78">
        <f>H128+H132+H133+H143+H144+H145+H146+H147+H148</f>
        <v>152038.0252</v>
      </c>
      <c r="I150" s="78">
        <f>I128+I132+I133+I143+I144+I145+I146+I147+I148</f>
        <v>40920.521340000007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142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145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7.61536</f>
        <v>7.6153599999999999</v>
      </c>
      <c r="F175" s="274">
        <f>269.32144</f>
        <v>269.32144</v>
      </c>
      <c r="G175" s="45">
        <f>D175-F175-F176</f>
        <v>4545.0751900000005</v>
      </c>
      <c r="H175" s="274">
        <f>228.22647</f>
        <v>228.22647000000001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42.73858</f>
        <v>42.738579999999999</v>
      </c>
      <c r="F176" s="154">
        <f>173.60337</f>
        <v>173.60337000000001</v>
      </c>
      <c r="G176" s="215"/>
      <c r="H176" s="154">
        <f>250.01079</f>
        <v>250.01078999999999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18.29706</f>
        <v>18.297059999999998</v>
      </c>
      <c r="G177" s="174">
        <f>D177-F177</f>
        <v>181.70294000000001</v>
      </c>
      <c r="H177" s="174">
        <f>8.80508</f>
        <v>8.8050800000000002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0.84367999999999999</v>
      </c>
      <c r="F178" s="183">
        <f>F179+F180+F181</f>
        <v>3.9373199999999997</v>
      </c>
      <c r="G178" s="183">
        <f>D178-F178</f>
        <v>7477.06268</v>
      </c>
      <c r="H178" s="183">
        <f>H179+H180+H181</f>
        <v>13.4308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0.04312</f>
        <v>4.3119999999999999E-2</v>
      </c>
      <c r="F179" s="129">
        <f>0.6146</f>
        <v>0.61460000000000004</v>
      </c>
      <c r="G179" s="129"/>
      <c r="H179" s="129">
        <f>0.70156</f>
        <v>0.70155999999999996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0.36496</f>
        <v>0.36496000000000001</v>
      </c>
      <c r="F180" s="129">
        <f>2.26116</f>
        <v>2.2611599999999998</v>
      </c>
      <c r="G180" s="129"/>
      <c r="H180" s="129">
        <f>9.38759</f>
        <v>9.3875899999999994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0.4356</f>
        <v>0.43559999999999999</v>
      </c>
      <c r="F181" s="194">
        <f>1.06156</f>
        <v>1.0615600000000001</v>
      </c>
      <c r="G181" s="194"/>
      <c r="H181" s="194">
        <f>3.34165</f>
        <v>3.34165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51.197620000000001</v>
      </c>
      <c r="F184" s="196">
        <f>F175+F176+F177+F178+F182+F183</f>
        <v>465.15918999999997</v>
      </c>
      <c r="G184" s="196">
        <f>D184-F184</f>
        <v>12269.84081</v>
      </c>
      <c r="H184" s="196">
        <f>H175+H176+H177+H178+H182+H183</f>
        <v>500.47313999999994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17.62446</f>
        <v>17.624459999999999</v>
      </c>
      <c r="F204" s="124">
        <f>5771.87361</f>
        <v>5771.8736099999996</v>
      </c>
      <c r="G204" s="124">
        <f>D204-F204</f>
        <v>38067.126389999998</v>
      </c>
      <c r="H204" s="124">
        <f>3558.79356</f>
        <v>3558.7935600000001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0.27271</f>
        <v>0.27271000000000001</v>
      </c>
      <c r="F205" s="124">
        <f>0.74071</f>
        <v>0.74070999999999998</v>
      </c>
      <c r="G205" s="124">
        <f>D205-F205</f>
        <v>99.259289999999993</v>
      </c>
      <c r="H205" s="124">
        <f>7.3903</f>
        <v>7.3902999999999999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17.897169999999999</v>
      </c>
      <c r="F207" s="190">
        <f>SUM(F204:F206)</f>
        <v>5772.6143199999997</v>
      </c>
      <c r="G207" s="190">
        <f>D207-F207</f>
        <v>38208.385679999999</v>
      </c>
      <c r="H207" s="190">
        <f>SUM(H204:H206)</f>
        <v>3566.1838600000001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4.89553</f>
        <v>4.8955299999999999</v>
      </c>
      <c r="F258" s="124">
        <f>68.9682</f>
        <v>68.968199999999996</v>
      </c>
      <c r="G258" s="124">
        <f>D258-F258</f>
        <v>731.03179999999998</v>
      </c>
      <c r="H258" s="124">
        <f>33.1131</f>
        <v>33.113100000000003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12.53046</f>
        <v>12.53046</v>
      </c>
      <c r="F259" s="124">
        <f>337.3858</f>
        <v>337.38580000000002</v>
      </c>
      <c r="G259" s="124">
        <f>D259-F259</f>
        <v>2156.6142</v>
      </c>
      <c r="H259" s="124">
        <f>175.51041</f>
        <v>175.51041000000001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0.135</f>
        <v>0.13500000000000001</v>
      </c>
      <c r="G261" s="124"/>
      <c r="H261" s="168">
        <f>0.18256</f>
        <v>0.18256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17.425989999999999</v>
      </c>
      <c r="F262" s="190">
        <f>SUM(F258:F261)</f>
        <v>406.57904000000002</v>
      </c>
      <c r="G262" s="190">
        <f>D262-F262</f>
        <v>2892.4209599999999</v>
      </c>
      <c r="H262" s="190">
        <f>H258+H259+H260+H261</f>
        <v>209.16307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160.47310999999999</v>
      </c>
      <c r="G288" s="251">
        <f t="shared" si="14"/>
        <v>1961.8942999999999</v>
      </c>
      <c r="H288" s="251">
        <f>H292+H291+H290+H289</f>
        <v>14140.1057</v>
      </c>
      <c r="I288" s="251">
        <f t="shared" si="14"/>
        <v>564.99131999999997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1201.13204</f>
        <v>1201.13204</v>
      </c>
      <c r="H289" s="255">
        <f t="shared" ref="H289:H293" si="15">E289-G289</f>
        <v>6975.8679599999996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135</f>
        <v>135</v>
      </c>
      <c r="G290" s="255">
        <f>432</f>
        <v>432</v>
      </c>
      <c r="H290" s="255">
        <f t="shared" si="15"/>
        <v>1696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24.16031</f>
        <v>24.160309999999999</v>
      </c>
      <c r="G291" s="255">
        <f>308.29366</f>
        <v>308.29365999999999</v>
      </c>
      <c r="H291" s="255">
        <f t="shared" si="15"/>
        <v>1048.70634</v>
      </c>
      <c r="I291" s="255">
        <f>166.75882</f>
        <v>166.75881999999999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1.3128</f>
        <v>1.3128</v>
      </c>
      <c r="G292" s="255">
        <f>20.4686</f>
        <v>20.468599999999999</v>
      </c>
      <c r="H292" s="255">
        <f t="shared" si="15"/>
        <v>4419.5313999999998</v>
      </c>
      <c r="I292" s="255">
        <f>5.5472</f>
        <v>5.5472000000000001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</f>
        <v>0</v>
      </c>
      <c r="G293" s="266">
        <f>18.501</f>
        <v>18.501000000000001</v>
      </c>
      <c r="H293" s="266">
        <f t="shared" si="15"/>
        <v>5481.4989999999998</v>
      </c>
      <c r="I293" s="266">
        <f>107.83502</f>
        <v>107.83502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29.862760000000002</v>
      </c>
      <c r="G294" s="267">
        <f>G296+G295</f>
        <v>1343.3379500000001</v>
      </c>
      <c r="H294" s="267">
        <f>E294-G294</f>
        <v>6656.6620499999999</v>
      </c>
      <c r="I294" s="267">
        <f>I296+I295</f>
        <v>1410.7441899999999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29.86276</f>
        <v>29.862760000000002</v>
      </c>
      <c r="G296" s="276">
        <f>600.76435</f>
        <v>600.76435000000004</v>
      </c>
      <c r="H296" s="276"/>
      <c r="I296" s="276">
        <f>521.24588</f>
        <v>521.24588000000006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0.7302</f>
        <v>0.73019999999999996</v>
      </c>
      <c r="G298" s="266">
        <f>1.8934</f>
        <v>1.8934</v>
      </c>
      <c r="H298" s="266">
        <f>E298-G298</f>
        <v>-1.8934</v>
      </c>
      <c r="I298" s="266">
        <f>12.23983</f>
        <v>12.23983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191.06607</v>
      </c>
      <c r="G299" s="285">
        <f t="shared" si="16"/>
        <v>3325.6833500000002</v>
      </c>
      <c r="H299" s="285">
        <f>H288+H293+H294+H297+H298</f>
        <v>26286.316649999997</v>
      </c>
      <c r="I299" s="285">
        <f t="shared" si="16"/>
        <v>2095.9480600000002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130.82647</v>
      </c>
      <c r="F321" s="26">
        <f>F323+F322</f>
        <v>1479.1723300000001</v>
      </c>
      <c r="G321" s="87">
        <f>D321-F321</f>
        <v>761.8276699999999</v>
      </c>
      <c r="H321" s="26">
        <f>SUM(H322:H323)</f>
        <v>862.28382999999997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100.99447</f>
        <v>100.99447000000001</v>
      </c>
      <c r="F322" s="207">
        <f>1220.35273</f>
        <v>1220.3527300000001</v>
      </c>
      <c r="G322" s="208"/>
      <c r="H322" s="207">
        <f>708.92675</f>
        <v>708.92674999999997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29.832</f>
        <v>29.832000000000001</v>
      </c>
      <c r="F323" s="210">
        <f>258.8196</f>
        <v>258.81959999999998</v>
      </c>
      <c r="G323" s="211"/>
      <c r="H323" s="210">
        <f>153.35708</f>
        <v>153.35708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130.82647</v>
      </c>
      <c r="F331" s="42">
        <f>F321+F324+F327+F330</f>
        <v>1479.1723300000001</v>
      </c>
      <c r="G331" s="43">
        <f>SUM(G321:G330)</f>
        <v>1881.8276699999999</v>
      </c>
      <c r="H331" s="42">
        <f>H321+H324+H327+H330</f>
        <v>862.28382999999997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10&amp;R13.03.2023</oddHeader>
    <oddFooter>&amp;L&amp;8Fiskeridirektoratet&amp;C&amp;8Seksjon fiskeriregulering&amp;R&amp;8Amund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2023-03-13T12:28:48Z</dcterms:modified>
</cp:coreProperties>
</file>