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B2862C64-188A-4238-9807-B37EBA050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2" i="1" l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E417" i="1"/>
  <c r="H416" i="1"/>
  <c r="F416" i="1"/>
  <c r="G416" i="1" s="1"/>
  <c r="E416" i="1"/>
  <c r="H415" i="1"/>
  <c r="F415" i="1"/>
  <c r="E415" i="1"/>
  <c r="H414" i="1"/>
  <c r="F414" i="1"/>
  <c r="E414" i="1"/>
  <c r="E413" i="1" s="1"/>
  <c r="E423" i="1" s="1"/>
  <c r="H413" i="1"/>
  <c r="H423" i="1" s="1"/>
  <c r="F413" i="1"/>
  <c r="F423" i="1" s="1"/>
  <c r="E391" i="1"/>
  <c r="D391" i="1"/>
  <c r="I390" i="1"/>
  <c r="H390" i="1"/>
  <c r="G390" i="1"/>
  <c r="F390" i="1"/>
  <c r="I389" i="1"/>
  <c r="H389" i="1"/>
  <c r="G389" i="1"/>
  <c r="F389" i="1"/>
  <c r="I388" i="1"/>
  <c r="G388" i="1"/>
  <c r="G386" i="1" s="1"/>
  <c r="H386" i="1" s="1"/>
  <c r="F388" i="1"/>
  <c r="I387" i="1"/>
  <c r="G387" i="1"/>
  <c r="F387" i="1"/>
  <c r="F386" i="1" s="1"/>
  <c r="I386" i="1"/>
  <c r="I385" i="1"/>
  <c r="G385" i="1"/>
  <c r="H385" i="1" s="1"/>
  <c r="F385" i="1"/>
  <c r="I384" i="1"/>
  <c r="G384" i="1"/>
  <c r="H384" i="1" s="1"/>
  <c r="F384" i="1"/>
  <c r="I383" i="1"/>
  <c r="G383" i="1"/>
  <c r="H383" i="1" s="1"/>
  <c r="F383" i="1"/>
  <c r="F380" i="1" s="1"/>
  <c r="F391" i="1" s="1"/>
  <c r="I382" i="1"/>
  <c r="G382" i="1"/>
  <c r="H382" i="1" s="1"/>
  <c r="F382" i="1"/>
  <c r="I381" i="1"/>
  <c r="G381" i="1"/>
  <c r="H381" i="1" s="1"/>
  <c r="F381" i="1"/>
  <c r="I380" i="1"/>
  <c r="I391" i="1" s="1"/>
  <c r="G380" i="1"/>
  <c r="G391" i="1" s="1"/>
  <c r="E380" i="1"/>
  <c r="D380" i="1"/>
  <c r="H372" i="1"/>
  <c r="F372" i="1"/>
  <c r="H354" i="1"/>
  <c r="D354" i="1"/>
  <c r="H353" i="1"/>
  <c r="F353" i="1"/>
  <c r="G353" i="1" s="1"/>
  <c r="E353" i="1"/>
  <c r="H352" i="1"/>
  <c r="F352" i="1"/>
  <c r="G352" i="1" s="1"/>
  <c r="E352" i="1"/>
  <c r="H351" i="1"/>
  <c r="F351" i="1"/>
  <c r="G351" i="1" s="1"/>
  <c r="E351" i="1"/>
  <c r="E354" i="1" s="1"/>
  <c r="H350" i="1"/>
  <c r="F350" i="1"/>
  <c r="F354" i="1" s="1"/>
  <c r="E350" i="1"/>
  <c r="D343" i="1"/>
  <c r="D299" i="1"/>
  <c r="H298" i="1"/>
  <c r="F298" i="1"/>
  <c r="G298" i="1" s="1"/>
  <c r="E298" i="1"/>
  <c r="H297" i="1"/>
  <c r="F297" i="1"/>
  <c r="E297" i="1"/>
  <c r="H296" i="1"/>
  <c r="H295" i="1" s="1"/>
  <c r="H299" i="1" s="1"/>
  <c r="F296" i="1"/>
  <c r="E296" i="1"/>
  <c r="F295" i="1"/>
  <c r="F299" i="1" s="1"/>
  <c r="G299" i="1" s="1"/>
  <c r="E295" i="1"/>
  <c r="E299" i="1" s="1"/>
  <c r="D253" i="1"/>
  <c r="H252" i="1"/>
  <c r="F252" i="1"/>
  <c r="G252" i="1" s="1"/>
  <c r="E252" i="1"/>
  <c r="H251" i="1"/>
  <c r="F251" i="1"/>
  <c r="F249" i="1" s="1"/>
  <c r="E251" i="1"/>
  <c r="H250" i="1"/>
  <c r="F250" i="1"/>
  <c r="E250" i="1"/>
  <c r="H249" i="1"/>
  <c r="H253" i="1" s="1"/>
  <c r="E249" i="1"/>
  <c r="E253" i="1" s="1"/>
  <c r="D207" i="1"/>
  <c r="H206" i="1"/>
  <c r="F206" i="1"/>
  <c r="G206" i="1" s="1"/>
  <c r="E206" i="1"/>
  <c r="H205" i="1"/>
  <c r="F205" i="1"/>
  <c r="G205" i="1" s="1"/>
  <c r="E205" i="1"/>
  <c r="E207" i="1" s="1"/>
  <c r="H204" i="1"/>
  <c r="H207" i="1" s="1"/>
  <c r="F204" i="1"/>
  <c r="G204" i="1" s="1"/>
  <c r="E204" i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 s="1"/>
  <c r="E184" i="1" s="1"/>
  <c r="H177" i="1"/>
  <c r="G177" i="1"/>
  <c r="F177" i="1"/>
  <c r="E177" i="1"/>
  <c r="H176" i="1"/>
  <c r="F176" i="1"/>
  <c r="E176" i="1"/>
  <c r="H175" i="1"/>
  <c r="H184" i="1" s="1"/>
  <c r="F175" i="1"/>
  <c r="F184" i="1" s="1"/>
  <c r="G184" i="1" s="1"/>
  <c r="E175" i="1"/>
  <c r="I148" i="1"/>
  <c r="G148" i="1"/>
  <c r="H148" i="1" s="1"/>
  <c r="F148" i="1"/>
  <c r="I147" i="1"/>
  <c r="G147" i="1"/>
  <c r="H147" i="1" s="1"/>
  <c r="F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I139" i="1" s="1"/>
  <c r="G140" i="1"/>
  <c r="H140" i="1" s="1"/>
  <c r="H139" i="1" s="1"/>
  <c r="F140" i="1"/>
  <c r="F139" i="1" s="1"/>
  <c r="F133" i="1" s="1"/>
  <c r="G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G134" i="1"/>
  <c r="G133" i="1" s="1"/>
  <c r="F135" i="1"/>
  <c r="F134" i="1"/>
  <c r="E134" i="1"/>
  <c r="E133" i="1" s="1"/>
  <c r="D134" i="1"/>
  <c r="D133" i="1"/>
  <c r="I132" i="1"/>
  <c r="G132" i="1"/>
  <c r="H132" i="1" s="1"/>
  <c r="F132" i="1"/>
  <c r="I131" i="1"/>
  <c r="H131" i="1"/>
  <c r="G131" i="1"/>
  <c r="F131" i="1"/>
  <c r="I130" i="1"/>
  <c r="I128" i="1" s="1"/>
  <c r="G130" i="1"/>
  <c r="H130" i="1" s="1"/>
  <c r="F130" i="1"/>
  <c r="I129" i="1"/>
  <c r="H129" i="1"/>
  <c r="G129" i="1"/>
  <c r="F129" i="1"/>
  <c r="F128" i="1" s="1"/>
  <c r="G128" i="1"/>
  <c r="E128" i="1"/>
  <c r="E150" i="1" s="1"/>
  <c r="D128" i="1"/>
  <c r="D150" i="1" s="1"/>
  <c r="C126" i="1"/>
  <c r="I106" i="1"/>
  <c r="G106" i="1"/>
  <c r="H106" i="1" s="1"/>
  <c r="F106" i="1"/>
  <c r="I105" i="1"/>
  <c r="G105" i="1"/>
  <c r="H105" i="1" s="1"/>
  <c r="F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I96" i="1" s="1"/>
  <c r="I95" i="1" s="1"/>
  <c r="G98" i="1"/>
  <c r="H98" i="1" s="1"/>
  <c r="F98" i="1"/>
  <c r="I97" i="1"/>
  <c r="G97" i="1"/>
  <c r="H97" i="1" s="1"/>
  <c r="F97" i="1"/>
  <c r="F96" i="1"/>
  <c r="F95" i="1" s="1"/>
  <c r="E96" i="1"/>
  <c r="D96" i="1"/>
  <c r="E95" i="1"/>
  <c r="D95" i="1"/>
  <c r="D107" i="1" s="1"/>
  <c r="I94" i="1"/>
  <c r="G94" i="1"/>
  <c r="H94" i="1" s="1"/>
  <c r="F94" i="1"/>
  <c r="F92" i="1" s="1"/>
  <c r="F107" i="1" s="1"/>
  <c r="I93" i="1"/>
  <c r="I92" i="1" s="1"/>
  <c r="G93" i="1"/>
  <c r="H93" i="1" s="1"/>
  <c r="F93" i="1"/>
  <c r="E92" i="1"/>
  <c r="E107" i="1" s="1"/>
  <c r="D92" i="1"/>
  <c r="C89" i="1"/>
  <c r="H85" i="1"/>
  <c r="F85" i="1"/>
  <c r="D85" i="1"/>
  <c r="G61" i="1"/>
  <c r="G60" i="1"/>
  <c r="H55" i="1"/>
  <c r="I32" i="1" s="1"/>
  <c r="F55" i="1"/>
  <c r="G55" i="1" s="1"/>
  <c r="E55" i="1"/>
  <c r="I43" i="1"/>
  <c r="H43" i="1"/>
  <c r="G43" i="1"/>
  <c r="F43" i="1"/>
  <c r="H42" i="1"/>
  <c r="I41" i="1"/>
  <c r="H41" i="1"/>
  <c r="G41" i="1"/>
  <c r="F41" i="1"/>
  <c r="H40" i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4" i="1" s="1"/>
  <c r="I26" i="1" s="1"/>
  <c r="G35" i="1"/>
  <c r="G34" i="1" s="1"/>
  <c r="F35" i="1"/>
  <c r="E35" i="1"/>
  <c r="F34" i="1"/>
  <c r="D34" i="1"/>
  <c r="I33" i="1"/>
  <c r="G33" i="1"/>
  <c r="H33" i="1" s="1"/>
  <c r="F33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I27" i="1" s="1"/>
  <c r="G28" i="1"/>
  <c r="H28" i="1" s="1"/>
  <c r="F28" i="1"/>
  <c r="F27" i="1" s="1"/>
  <c r="E27" i="1"/>
  <c r="D27" i="1"/>
  <c r="D26" i="1" s="1"/>
  <c r="E26" i="1"/>
  <c r="E44" i="1" s="1"/>
  <c r="I25" i="1"/>
  <c r="I23" i="1" s="1"/>
  <c r="G25" i="1"/>
  <c r="G23" i="1" s="1"/>
  <c r="F25" i="1"/>
  <c r="I24" i="1"/>
  <c r="G24" i="1"/>
  <c r="H24" i="1" s="1"/>
  <c r="F24" i="1"/>
  <c r="F23" i="1"/>
  <c r="E23" i="1"/>
  <c r="D23" i="1"/>
  <c r="D44" i="1" s="1"/>
  <c r="H16" i="1"/>
  <c r="F16" i="1"/>
  <c r="D16" i="1"/>
  <c r="H35" i="1" l="1"/>
  <c r="I133" i="1"/>
  <c r="I150" i="1" s="1"/>
  <c r="I107" i="1"/>
  <c r="G354" i="1"/>
  <c r="H27" i="1"/>
  <c r="H92" i="1"/>
  <c r="H96" i="1"/>
  <c r="H95" i="1" s="1"/>
  <c r="G150" i="1"/>
  <c r="G249" i="1"/>
  <c r="F253" i="1"/>
  <c r="G253" i="1" s="1"/>
  <c r="F26" i="1"/>
  <c r="F44" i="1" s="1"/>
  <c r="F150" i="1"/>
  <c r="G207" i="1"/>
  <c r="H380" i="1"/>
  <c r="H391" i="1" s="1"/>
  <c r="I44" i="1"/>
  <c r="H128" i="1"/>
  <c r="H25" i="1"/>
  <c r="H23" i="1" s="1"/>
  <c r="G92" i="1"/>
  <c r="F207" i="1"/>
  <c r="G295" i="1"/>
  <c r="G175" i="1"/>
  <c r="H34" i="1"/>
  <c r="H135" i="1"/>
  <c r="H134" i="1" s="1"/>
  <c r="H133" i="1" s="1"/>
  <c r="G27" i="1"/>
  <c r="G26" i="1" s="1"/>
  <c r="G44" i="1" s="1"/>
  <c r="G96" i="1"/>
  <c r="G95" i="1" s="1"/>
  <c r="G350" i="1"/>
  <c r="G413" i="1"/>
  <c r="H107" i="1" l="1"/>
  <c r="G107" i="1"/>
  <c r="H150" i="1"/>
  <c r="H26" i="1"/>
  <c r="H44" i="1" s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<sst xmlns="http://schemas.openxmlformats.org/spreadsheetml/2006/main" count="359" uniqueCount="151">
  <si>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</si>
  <si>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</si>
  <si>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</si>
  <si>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</si>
  <si>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</si>
  <si>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</si>
  <si>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</si>
  <si>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</si>
  <si>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</si>
  <si>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</si>
  <si>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</si>
  <si>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</si>
  <si>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</si>
  <si>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</si>
  <si>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</si>
  <si>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</si>
  <si>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</si>
  <si>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</si>
  <si>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</si>
  <si>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</si>
  <si>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</si>
  <si>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</si>
  <si>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</si>
  <si>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</si>
  <si>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</si>
  <si>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</si>
  <si>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</si>
  <si>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</si>
  <si>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</si>
  <si>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</si>
  <si>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</si>
  <si>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</si>
  <si>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</si>
  <si>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</si>
  <si>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</si>
  <si>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</si>
  <si>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</si>
  <si>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</si>
  <si>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</si>
  <si>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</si>
  <si>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</si>
  <si>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</si>
  <si>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</si>
  <si>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</si>
  <si>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</si>
  <si>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</si>
  <si>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</si>
  <si>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</si>
  <si>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</si>
  <si>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</si>
  <si>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</si>
  <si>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</si>
  <si>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</si>
  <si>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</si>
  <si>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</si>
  <si>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</si>
  <si>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</si>
  <si>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</si>
  <si>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</si>
  <si>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</si>
  <si>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</si>
  <si>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</si>
  <si>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</si>
  <si>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</si>
  <si>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</si>
  <si>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</si>
  <si>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</si>
  <si>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</si>
  <si>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</si>
  <si>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</si>
  <si>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</si>
  <si>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</si>
  <si>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</si>
  <si>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</si>
  <si>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</si>
  <si>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</si>
  <si>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</si>
  <si>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</si>
  <si>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</si>
  <si>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</si>
  <si>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</si>
  <si>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</si>
  <si>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</si>
  <si>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</si>
  <si>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</si>
  <si>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</si>
  <si>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</si>
  <si>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</si>
  <si>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</si>
  <si>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</si>
  <si>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</si>
  <si>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</si>
  <si>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</si>
  <si>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</si>
  <si>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</si>
  <si>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</si>
  <si>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</si>
  <si>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</si>
  <si>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</si>
  <si>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</si>
  <si>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</si>
  <si>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</si>
  <si>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</si>
  <si>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</si>
  <si>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</si>
  <si>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</si>
  <si>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</si>
  <si>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</si>
  <si>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</si>
  <si>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</si>
  <si>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</si>
  <si>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</si>
  <si>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</si>
  <si>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</si>
  <si>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</si>
  <si>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</si>
  <si>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</si>
  <si>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</si>
  <si>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</si>
  <si>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</si>
  <si>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</si>
  <si>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</si>
  <si>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</si>
  <si>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</si>
  <si>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</si>
  <si>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</si>
  <si>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</si>
  <si>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</si>
  <si>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</si>
  <si>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</si>
  <si>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</si>
  <si>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</si>
  <si>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2 000 tonn er overført fra ubenyttet tredjelandskvoter fra Norges økonomiske til norsk totalkvote og fordelt til åpen gruppe og fartøy i lukket gruppe med hjemmelslengde under 11 meter </t>
    </r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</si>
  <si>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</si>
  <si>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</si>
  <si>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</si>
  <si>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</si>
  <si>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</si>
  <si>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</si>
  <si>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</si>
  <si>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</si>
  <si>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</si>
  <si>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</si>
  <si>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t>FANGST UKE 6</t>
  </si>
  <si>
    <t>FANGST T.O.M UKE 6</t>
  </si>
  <si>
    <t>RESTKVOTER UKE 6</t>
  </si>
  <si>
    <t>FANGST T.O.M UKE 6 2023</t>
  </si>
  <si>
    <r>
      <t xml:space="preserve">3 </t>
    </r>
    <r>
      <rPr>
        <sz val="9"/>
        <color indexed="8"/>
        <rFont val="Calibri"/>
        <family val="2"/>
      </rPr>
      <t>Registrert rekreasjonsfiske utgjør 37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</si>
  <si>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4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</si>
  <si>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</si>
  <si>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57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</si>
</sst>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70" zoomScaleNormal="85" zoomScaleSheetLayoutView="100" zoomScalePageLayoutView="70" workbookViewId="0">
      <selection activeCell="I75" sqref="I75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88" t="s">
        <v>125</v>
      </c>
      <c r="C2" s="289"/>
      <c r="D2" s="289"/>
      <c r="E2" s="289"/>
      <c r="F2" s="289"/>
      <c r="G2" s="289"/>
      <c r="H2" s="289"/>
      <c r="I2" s="289"/>
      <c r="J2" s="290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5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1"/>
      <c r="C9" s="292"/>
      <c r="D9" s="292"/>
      <c r="E9" s="292"/>
      <c r="F9" s="292"/>
      <c r="G9" s="292"/>
      <c r="H9" s="292"/>
      <c r="I9" s="292"/>
      <c r="J9" s="293"/>
    </row>
    <row r="10" spans="1:10" ht="12" customHeight="1" x14ac:dyDescent="0.25">
      <c r="A10" s="1"/>
      <c r="B10" s="250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78"/>
      <c r="J11" s="240"/>
    </row>
    <row r="12" spans="1:10" ht="14.1" customHeight="1" x14ac:dyDescent="0.25">
      <c r="A12" s="1"/>
      <c r="B12" s="250"/>
      <c r="C12" s="99"/>
      <c r="D12" s="99"/>
      <c r="E12" s="99" t="s">
        <v>4</v>
      </c>
      <c r="F12" s="114">
        <v>62169</v>
      </c>
      <c r="G12" s="115" t="s">
        <v>5</v>
      </c>
      <c r="H12" s="114">
        <v>21768</v>
      </c>
      <c r="I12" s="178"/>
      <c r="J12" s="240"/>
    </row>
    <row r="13" spans="1:10" ht="15.75" customHeight="1" x14ac:dyDescent="0.25">
      <c r="A13" s="1"/>
      <c r="B13" s="250"/>
      <c r="C13" s="115" t="s">
        <v>6</v>
      </c>
      <c r="D13" s="117">
        <v>212124</v>
      </c>
      <c r="E13" s="115" t="s">
        <v>7</v>
      </c>
      <c r="F13" s="117">
        <v>134109</v>
      </c>
      <c r="G13" s="115" t="s">
        <v>8</v>
      </c>
      <c r="H13" s="117">
        <v>121832</v>
      </c>
      <c r="I13" s="178"/>
      <c r="J13" s="240"/>
    </row>
    <row r="14" spans="1:10" ht="14.25" customHeight="1" x14ac:dyDescent="0.25">
      <c r="A14" s="1"/>
      <c r="B14" s="250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15290</v>
      </c>
      <c r="I14" s="178"/>
      <c r="J14" s="240"/>
    </row>
    <row r="15" spans="1:10" ht="15.75" customHeight="1" x14ac:dyDescent="0.25">
      <c r="A15" s="1"/>
      <c r="B15" s="250"/>
      <c r="C15" s="115" t="s">
        <v>74</v>
      </c>
      <c r="D15" s="117">
        <v>62179</v>
      </c>
      <c r="E15" s="147"/>
      <c r="F15" s="166"/>
      <c r="G15" s="165" t="s">
        <v>12</v>
      </c>
      <c r="H15" s="287">
        <v>11040</v>
      </c>
      <c r="I15" s="178"/>
      <c r="J15" s="240"/>
    </row>
    <row r="16" spans="1:10" ht="14.1" customHeight="1" x14ac:dyDescent="0.25">
      <c r="A16" s="1"/>
      <c r="B16" s="250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214124</v>
      </c>
      <c r="G16" s="177" t="s">
        <v>7</v>
      </c>
      <c r="H16" s="189">
        <f>SUM(H12:H15)</f>
        <v>169930</v>
      </c>
      <c r="J16" s="240"/>
    </row>
    <row r="17" spans="1:10" ht="15" customHeight="1" x14ac:dyDescent="0.25">
      <c r="A17" s="101"/>
      <c r="B17" s="24"/>
      <c r="C17" s="101" t="s">
        <v>132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7"/>
      <c r="C18" s="268"/>
      <c r="D18" s="268"/>
      <c r="E18" s="109"/>
      <c r="F18" s="268"/>
      <c r="G18" s="268"/>
      <c r="H18" s="268"/>
      <c r="I18" s="268"/>
      <c r="J18" s="184"/>
    </row>
    <row r="19" spans="1:10" ht="15" customHeight="1" x14ac:dyDescent="0.25">
      <c r="A19" s="1"/>
      <c r="B19" s="250"/>
      <c r="C19" s="254"/>
      <c r="D19" s="254"/>
      <c r="E19" s="271"/>
      <c r="F19" s="254"/>
      <c r="G19" s="254"/>
      <c r="H19" s="254"/>
      <c r="I19" s="254"/>
      <c r="J19" s="3"/>
    </row>
    <row r="20" spans="1:10" ht="15" customHeight="1" x14ac:dyDescent="0.25">
      <c r="A20" s="1"/>
      <c r="B20" s="250"/>
      <c r="C20" s="18" t="s">
        <v>15</v>
      </c>
      <c r="D20" s="254"/>
      <c r="E20" s="271"/>
      <c r="F20" s="254"/>
      <c r="G20" s="254"/>
      <c r="H20" s="202"/>
      <c r="I20" s="254"/>
      <c r="J20" s="3"/>
    </row>
    <row r="21" spans="1:10" ht="12" customHeight="1" x14ac:dyDescent="0.25">
      <c r="A21" s="1"/>
      <c r="B21" s="250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143</v>
      </c>
      <c r="G22" s="68" t="s">
        <v>144</v>
      </c>
      <c r="H22" s="68" t="s">
        <v>145</v>
      </c>
      <c r="I22" s="68" t="s">
        <v>146</v>
      </c>
      <c r="J22" s="276"/>
    </row>
    <row r="23" spans="1:10" ht="14.1" customHeight="1" x14ac:dyDescent="0.25">
      <c r="A23" s="1"/>
      <c r="B23" s="250"/>
      <c r="C23" s="16" t="s">
        <v>19</v>
      </c>
      <c r="D23" s="28">
        <f>D24+D25</f>
        <v>62169</v>
      </c>
      <c r="E23" s="28">
        <f>E24+E25</f>
        <v>60542</v>
      </c>
      <c r="F23" s="28">
        <f t="shared" ref="F23:I23" si="0">F25+F24</f>
        <v>773.83199999999999</v>
      </c>
      <c r="G23" s="28">
        <f t="shared" si="0"/>
        <v>9566.0337200000013</v>
      </c>
      <c r="H23" s="11">
        <f t="shared" si="0"/>
        <v>50975.966279999993</v>
      </c>
      <c r="I23" s="11">
        <f t="shared" si="0"/>
        <v>11033.4323</v>
      </c>
      <c r="J23" s="240"/>
    </row>
    <row r="24" spans="1:10" ht="14.1" customHeight="1" x14ac:dyDescent="0.25">
      <c r="A24" s="1"/>
      <c r="B24" s="250"/>
      <c r="C24" s="44" t="s">
        <v>20</v>
      </c>
      <c r="D24" s="45">
        <v>61419</v>
      </c>
      <c r="E24" s="45">
        <v>59772</v>
      </c>
      <c r="F24" s="23">
        <f>693.7215</f>
        <v>693.72149999999999</v>
      </c>
      <c r="G24" s="23">
        <f>9467.58422</f>
        <v>9467.5842200000006</v>
      </c>
      <c r="H24" s="23">
        <f>E24-G24</f>
        <v>50304.415779999996</v>
      </c>
      <c r="I24" s="23">
        <f>10986.5633</f>
        <v>10986.5633</v>
      </c>
      <c r="J24" s="240"/>
    </row>
    <row r="25" spans="1:10" ht="14.1" customHeight="1" x14ac:dyDescent="0.25">
      <c r="A25" s="1"/>
      <c r="B25" s="250"/>
      <c r="C25" s="48" t="s">
        <v>21</v>
      </c>
      <c r="D25" s="49">
        <v>750</v>
      </c>
      <c r="E25" s="49">
        <v>770</v>
      </c>
      <c r="F25" s="171">
        <f>80.1105</f>
        <v>80.110500000000002</v>
      </c>
      <c r="G25" s="23">
        <f>98.4495</f>
        <v>98.4495</v>
      </c>
      <c r="H25" s="23">
        <f>E25-G25</f>
        <v>671.55050000000006</v>
      </c>
      <c r="I25" s="23">
        <f>46.869</f>
        <v>46.869</v>
      </c>
      <c r="J25" s="240"/>
    </row>
    <row r="26" spans="1:10" ht="14.1" customHeight="1" x14ac:dyDescent="0.25">
      <c r="A26" s="1"/>
      <c r="B26" s="250"/>
      <c r="C26" s="16" t="s">
        <v>22</v>
      </c>
      <c r="D26" s="28">
        <f>D27+D33+D34</f>
        <v>138600</v>
      </c>
      <c r="E26" s="28">
        <f>E27+E33+E34</f>
        <v>144301</v>
      </c>
      <c r="F26" s="28">
        <f t="shared" ref="F26:I26" si="1">F34+F33+F27</f>
        <v>5123.9670699999997</v>
      </c>
      <c r="G26" s="11">
        <f t="shared" si="1"/>
        <v>15995.12095</v>
      </c>
      <c r="H26" s="11">
        <f t="shared" si="1"/>
        <v>128305.87905</v>
      </c>
      <c r="I26" s="11">
        <f t="shared" si="1"/>
        <v>18051.97508</v>
      </c>
      <c r="J26" s="240"/>
    </row>
    <row r="27" spans="1:10" ht="15" customHeight="1" x14ac:dyDescent="0.25">
      <c r="A27" s="51"/>
      <c r="B27" s="53"/>
      <c r="C27" s="56" t="s">
        <v>23</v>
      </c>
      <c r="D27" s="58">
        <f>D28+D29+D30+D31+D32</f>
        <v>107695</v>
      </c>
      <c r="E27" s="58">
        <f>E28+E29+E30+E31+E32</f>
        <v>112531</v>
      </c>
      <c r="F27" s="132">
        <f>F28+F29+F30+F31+F32</f>
        <v>4717.5646799999995</v>
      </c>
      <c r="G27" s="132">
        <f t="shared" ref="G27:I27" si="2">G28+G29+G30+G31+G32</f>
        <v>12504.583720000001</v>
      </c>
      <c r="H27" s="132">
        <f t="shared" si="2"/>
        <v>100026.41628</v>
      </c>
      <c r="I27" s="132">
        <f t="shared" si="2"/>
        <v>11265.396430000001</v>
      </c>
      <c r="J27" s="240"/>
    </row>
    <row r="28" spans="1:10" ht="14.1" customHeight="1" x14ac:dyDescent="0.25">
      <c r="A28" s="197"/>
      <c r="B28" s="182"/>
      <c r="C28" s="62" t="s">
        <v>24</v>
      </c>
      <c r="D28" s="63">
        <v>26675</v>
      </c>
      <c r="E28" s="63">
        <v>28514</v>
      </c>
      <c r="F28" s="203">
        <f>1004.43257</f>
        <v>1004.4325700000001</v>
      </c>
      <c r="G28" s="127">
        <f>2664.44011 - F56</f>
        <v>2664.44011</v>
      </c>
      <c r="H28" s="127">
        <f t="shared" ref="H28:H40" si="3">E28-G28</f>
        <v>25849.55989</v>
      </c>
      <c r="I28" s="127">
        <f>2772.98845 - H56</f>
        <v>2772.9884499999998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28632</v>
      </c>
      <c r="E29" s="63">
        <v>29544</v>
      </c>
      <c r="F29" s="127">
        <f>1516.34953</f>
        <v>1516.34953</v>
      </c>
      <c r="G29" s="127">
        <f>4645.90537 - F57</f>
        <v>4645.9053700000004</v>
      </c>
      <c r="H29" s="127">
        <f t="shared" si="3"/>
        <v>24898.09463</v>
      </c>
      <c r="I29" s="127">
        <f>4548.68212 - H57</f>
        <v>4548.6821200000004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25668</v>
      </c>
      <c r="E30" s="63">
        <v>27123</v>
      </c>
      <c r="F30" s="127">
        <f>1315.04068</f>
        <v>1315.0406800000001</v>
      </c>
      <c r="G30" s="127">
        <f>3190.00425 - F58</f>
        <v>3190.00425</v>
      </c>
      <c r="H30" s="127">
        <f t="shared" si="3"/>
        <v>23932.995750000002</v>
      </c>
      <c r="I30" s="127">
        <f>2109.67843 - H58</f>
        <v>2109.6784299999999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18848</v>
      </c>
      <c r="E31" s="63">
        <v>19250</v>
      </c>
      <c r="F31" s="127">
        <f>881.7419</f>
        <v>881.74189999999999</v>
      </c>
      <c r="G31" s="127">
        <f>2004.23399 - F59</f>
        <v>2004.2339899999999</v>
      </c>
      <c r="H31" s="127">
        <f t="shared" si="3"/>
        <v>17245.766009999999</v>
      </c>
      <c r="I31" s="127">
        <f>1834.04743 - H59</f>
        <v>1834.0474300000001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16923</v>
      </c>
      <c r="E33" s="58">
        <v>16785</v>
      </c>
      <c r="F33" s="132">
        <f>63.68016</f>
        <v>63.680160000000001</v>
      </c>
      <c r="G33" s="132">
        <f>2618.48193</f>
        <v>2618.4819299999999</v>
      </c>
      <c r="H33" s="132">
        <f t="shared" si="3"/>
        <v>14166.51807</v>
      </c>
      <c r="I33" s="132">
        <f>5565.58108</f>
        <v>5565.5810799999999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13982</v>
      </c>
      <c r="E34" s="58">
        <v>14985</v>
      </c>
      <c r="F34" s="132">
        <f>F35+F36</f>
        <v>342.72223000000002</v>
      </c>
      <c r="G34" s="132">
        <f>G35+G36</f>
        <v>872.05529999999999</v>
      </c>
      <c r="H34" s="132">
        <f t="shared" si="3"/>
        <v>14112.9447</v>
      </c>
      <c r="I34" s="132">
        <f>I35+I36</f>
        <v>1220.99757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13022</v>
      </c>
      <c r="E35" s="63">
        <f>E34-E36</f>
        <v>14025</v>
      </c>
      <c r="F35" s="127">
        <f>342.72223</f>
        <v>342.72223000000002</v>
      </c>
      <c r="G35" s="132">
        <f>886.0553 - F60 - F61</f>
        <v>872.05529999999999</v>
      </c>
      <c r="H35" s="127">
        <f t="shared" si="3"/>
        <v>13152.9447</v>
      </c>
      <c r="I35" s="127">
        <f>1220.99757 - H60 - H61</f>
        <v>1220.99757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0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0</f>
        <v>0</v>
      </c>
      <c r="H37" s="139">
        <f t="shared" si="3"/>
        <v>2000</v>
      </c>
      <c r="I37" s="139">
        <f>0</f>
        <v>0</v>
      </c>
      <c r="J37" s="240"/>
    </row>
    <row r="38" spans="1:13" ht="14.1" customHeight="1" x14ac:dyDescent="0.25">
      <c r="A38" s="1"/>
      <c r="B38" s="250"/>
      <c r="C38" s="73" t="s">
        <v>34</v>
      </c>
      <c r="D38" s="143">
        <v>855</v>
      </c>
      <c r="E38" s="143">
        <v>855</v>
      </c>
      <c r="F38" s="98">
        <f>13.25925</f>
        <v>13.25925</v>
      </c>
      <c r="G38" s="98">
        <f>25.07805</f>
        <v>25.078050000000001</v>
      </c>
      <c r="H38" s="98">
        <f t="shared" si="3"/>
        <v>829.92195000000004</v>
      </c>
      <c r="I38" s="98">
        <f>17.09763</f>
        <v>17.097629999999999</v>
      </c>
      <c r="J38" s="240"/>
    </row>
    <row r="39" spans="1:13" ht="17.25" customHeight="1" x14ac:dyDescent="0.25">
      <c r="A39" s="1"/>
      <c r="B39" s="250"/>
      <c r="C39" s="73" t="s">
        <v>35</v>
      </c>
      <c r="D39" s="143">
        <v>3000</v>
      </c>
      <c r="E39" s="143">
        <v>3000</v>
      </c>
      <c r="F39" s="98">
        <f>E61</f>
        <v>0</v>
      </c>
      <c r="G39" s="98">
        <f>F61</f>
        <v>14</v>
      </c>
      <c r="H39" s="98">
        <f t="shared" si="3"/>
        <v>2986</v>
      </c>
      <c r="I39" s="98">
        <f>H61</f>
        <v>0</v>
      </c>
      <c r="J39" s="240"/>
    </row>
    <row r="40" spans="1:13" ht="17.25" customHeight="1" x14ac:dyDescent="0.25">
      <c r="A40" s="1"/>
      <c r="B40" s="250"/>
      <c r="C40" s="73" t="s">
        <v>36</v>
      </c>
      <c r="D40" s="143">
        <v>7000</v>
      </c>
      <c r="E40" s="143">
        <v>7000</v>
      </c>
      <c r="F40" s="98">
        <f>8.98188</f>
        <v>8.9818800000000003</v>
      </c>
      <c r="G40" s="98">
        <v>7000</v>
      </c>
      <c r="H40" s="98">
        <f t="shared" si="3"/>
        <v>0</v>
      </c>
      <c r="I40" s="98">
        <v>7000</v>
      </c>
      <c r="J40" s="240"/>
    </row>
    <row r="41" spans="1:13" ht="17.25" customHeight="1" x14ac:dyDescent="0.25">
      <c r="A41" s="1"/>
      <c r="B41" s="250"/>
      <c r="C41" s="73" t="s">
        <v>38</v>
      </c>
      <c r="D41" s="143">
        <v>400</v>
      </c>
      <c r="E41" s="143">
        <v>400</v>
      </c>
      <c r="F41" s="98">
        <f>0.094</f>
        <v>9.4E-2</v>
      </c>
      <c r="G41" s="98">
        <f>0.6165</f>
        <v>0.61650000000000005</v>
      </c>
      <c r="H41" s="98">
        <f>E41-G41</f>
        <v>399.38350000000003</v>
      </c>
      <c r="I41" s="98">
        <f>0.6504</f>
        <v>0.65039999999999998</v>
      </c>
      <c r="J41" s="240"/>
    </row>
    <row r="42" spans="1:13" ht="17.25" customHeight="1" x14ac:dyDescent="0.25">
      <c r="A42" s="1"/>
      <c r="B42" s="250"/>
      <c r="C42" s="73" t="s">
        <v>133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0"/>
      <c r="M42" s="221"/>
    </row>
    <row r="43" spans="1:13" ht="14.1" customHeight="1" x14ac:dyDescent="0.25">
      <c r="A43" s="1"/>
      <c r="B43" s="250"/>
      <c r="C43" s="73" t="s">
        <v>39</v>
      </c>
      <c r="D43" s="143"/>
      <c r="E43" s="139"/>
      <c r="F43" s="139">
        <f>3.45405</f>
        <v>3.4540500000000001</v>
      </c>
      <c r="G43" s="139">
        <f>21.91205</f>
        <v>21.912050000000001</v>
      </c>
      <c r="H43" s="139">
        <f t="shared" ref="H43" si="4">E43-G43</f>
        <v>-21.912050000000001</v>
      </c>
      <c r="I43" s="139">
        <f>7.3125</f>
        <v>7.3125</v>
      </c>
      <c r="J43" s="240"/>
    </row>
    <row r="44" spans="1:13" ht="16.5" customHeight="1" x14ac:dyDescent="0.25">
      <c r="A44" s="1"/>
      <c r="B44" s="250"/>
      <c r="C44" s="74" t="s">
        <v>40</v>
      </c>
      <c r="D44" s="76">
        <f t="shared" ref="D44:I44" si="5">D23+D26+D37+D38+D39+D40+D41+D42+D43</f>
        <v>214124</v>
      </c>
      <c r="E44" s="76">
        <f t="shared" si="5"/>
        <v>218198</v>
      </c>
      <c r="F44" s="76">
        <f t="shared" si="5"/>
        <v>5923.5882500000007</v>
      </c>
      <c r="G44" s="76">
        <f t="shared" si="5"/>
        <v>32622.765270000004</v>
      </c>
      <c r="H44" s="76">
        <f t="shared" si="5"/>
        <v>185575.23472999997</v>
      </c>
      <c r="I44" s="76">
        <f t="shared" si="5"/>
        <v>36110.467909999999</v>
      </c>
      <c r="J44" s="240"/>
    </row>
    <row r="45" spans="1:13" ht="14.1" customHeight="1" x14ac:dyDescent="0.25">
      <c r="A45" s="101"/>
      <c r="B45" s="24"/>
      <c r="C45" s="77" t="s">
        <v>134</v>
      </c>
      <c r="D45" s="254"/>
      <c r="E45" s="254"/>
      <c r="F45" s="80"/>
      <c r="G45" s="80"/>
      <c r="H45" s="224"/>
      <c r="I45" s="224"/>
      <c r="J45" s="81"/>
    </row>
    <row r="46" spans="1:13" ht="14.1" customHeight="1" x14ac:dyDescent="0.25">
      <c r="A46" s="101"/>
      <c r="B46" s="24"/>
      <c r="C46" s="82" t="s">
        <v>41</v>
      </c>
      <c r="D46" s="254"/>
      <c r="E46" s="254"/>
      <c r="F46" s="254"/>
      <c r="G46" s="80"/>
      <c r="H46" s="178"/>
      <c r="I46" s="178"/>
      <c r="J46" s="240"/>
    </row>
    <row r="47" spans="1:13" ht="14.1" customHeight="1" x14ac:dyDescent="0.25">
      <c r="A47" s="101"/>
      <c r="B47" s="24"/>
      <c r="C47" s="161" t="s">
        <v>147</v>
      </c>
      <c r="D47" s="254"/>
      <c r="E47" s="254"/>
      <c r="F47" s="254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135</v>
      </c>
      <c r="D48" s="254"/>
      <c r="E48" s="254"/>
      <c r="F48" s="254"/>
      <c r="G48" s="254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4"/>
      <c r="E49" s="254"/>
      <c r="F49" s="254"/>
      <c r="G49" s="254"/>
      <c r="H49" s="178"/>
      <c r="I49" s="178"/>
      <c r="J49" s="120"/>
    </row>
    <row r="50" spans="1:10" ht="14.1" customHeight="1" x14ac:dyDescent="0.25">
      <c r="A50" s="101"/>
      <c r="B50" s="24"/>
      <c r="C50" s="101"/>
      <c r="D50" s="254"/>
      <c r="E50" s="254"/>
      <c r="F50" s="254"/>
      <c r="G50" s="254"/>
      <c r="H50" s="178"/>
      <c r="I50" s="178"/>
      <c r="J50" s="120"/>
    </row>
    <row r="51" spans="1:10" ht="20.25" customHeight="1" x14ac:dyDescent="0.25">
      <c r="A51" s="101"/>
      <c r="B51" s="237"/>
      <c r="C51" s="268"/>
      <c r="D51" s="268"/>
      <c r="E51" s="109"/>
      <c r="F51" s="268"/>
      <c r="G51" s="268"/>
      <c r="H51" s="268"/>
      <c r="I51" s="268"/>
      <c r="J51" s="184"/>
    </row>
    <row r="52" spans="1:10" ht="33" customHeight="1" x14ac:dyDescent="0.25">
      <c r="A52" s="101"/>
      <c r="B52" s="24"/>
      <c r="C52" s="299" t="s">
        <v>43</v>
      </c>
      <c r="D52" s="299"/>
      <c r="E52" s="299"/>
      <c r="F52" s="299"/>
      <c r="G52" s="299"/>
      <c r="H52" s="299"/>
      <c r="I52" s="83"/>
      <c r="J52" s="84"/>
    </row>
    <row r="53" spans="1:10" ht="7.5" customHeight="1" x14ac:dyDescent="0.25">
      <c r="A53" s="101"/>
      <c r="B53" s="24"/>
      <c r="C53" s="161"/>
      <c r="D53" s="254"/>
      <c r="E53" s="254"/>
      <c r="F53" s="254"/>
      <c r="G53" s="254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143</v>
      </c>
      <c r="F54" s="68" t="s">
        <v>144</v>
      </c>
      <c r="G54" s="68" t="s">
        <v>145</v>
      </c>
      <c r="H54" s="68" t="s">
        <v>146</v>
      </c>
      <c r="I54" s="254"/>
      <c r="J54" s="240"/>
    </row>
    <row r="55" spans="1:10" ht="14.1" customHeight="1" x14ac:dyDescent="0.25">
      <c r="A55" s="101"/>
      <c r="B55" s="24"/>
      <c r="C55" s="16" t="s">
        <v>45</v>
      </c>
      <c r="D55" s="300">
        <v>7872</v>
      </c>
      <c r="E55" s="11">
        <f>E59+E58+E57+E56</f>
        <v>0</v>
      </c>
      <c r="F55" s="11">
        <f>F59+F58+F57+F56</f>
        <v>0</v>
      </c>
      <c r="G55" s="300">
        <f>D55-F55</f>
        <v>7872</v>
      </c>
      <c r="H55" s="11">
        <f>H59+H58+H57+H56</f>
        <v>0</v>
      </c>
      <c r="I55" s="254"/>
      <c r="J55" s="240"/>
    </row>
    <row r="56" spans="1:10" ht="14.1" customHeight="1" x14ac:dyDescent="0.25">
      <c r="A56" s="101"/>
      <c r="B56" s="24"/>
      <c r="C56" s="62" t="s">
        <v>24</v>
      </c>
      <c r="D56" s="301"/>
      <c r="E56" s="127"/>
      <c r="F56" s="127"/>
      <c r="G56" s="301"/>
      <c r="H56" s="127"/>
      <c r="I56" s="254"/>
      <c r="J56" s="240"/>
    </row>
    <row r="57" spans="1:10" ht="14.1" customHeight="1" x14ac:dyDescent="0.25">
      <c r="A57" s="101"/>
      <c r="B57" s="24"/>
      <c r="C57" s="62" t="s">
        <v>25</v>
      </c>
      <c r="D57" s="301"/>
      <c r="E57" s="127"/>
      <c r="F57" s="127"/>
      <c r="G57" s="301"/>
      <c r="H57" s="127"/>
      <c r="I57" s="254"/>
      <c r="J57" s="240"/>
    </row>
    <row r="58" spans="1:10" ht="14.1" customHeight="1" x14ac:dyDescent="0.25">
      <c r="A58" s="101"/>
      <c r="B58" s="24"/>
      <c r="C58" s="62" t="s">
        <v>26</v>
      </c>
      <c r="D58" s="301"/>
      <c r="E58" s="127"/>
      <c r="F58" s="127"/>
      <c r="G58" s="301"/>
      <c r="H58" s="127"/>
      <c r="I58" s="254"/>
      <c r="J58" s="240"/>
    </row>
    <row r="59" spans="1:10" ht="14.1" customHeight="1" x14ac:dyDescent="0.25">
      <c r="A59" s="101"/>
      <c r="B59" s="24"/>
      <c r="C59" s="87" t="s">
        <v>27</v>
      </c>
      <c r="D59" s="302"/>
      <c r="E59" s="192"/>
      <c r="F59" s="192"/>
      <c r="G59" s="302"/>
      <c r="H59" s="192"/>
      <c r="I59" s="254"/>
      <c r="J59" s="240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/>
      <c r="F60" s="95"/>
      <c r="G60" s="95">
        <f>D60-F60</f>
        <v>960</v>
      </c>
      <c r="H60" s="95"/>
      <c r="I60" s="254"/>
      <c r="J60" s="240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/>
      <c r="F61" s="139">
        <v>14</v>
      </c>
      <c r="G61" s="139">
        <f>D61-F61</f>
        <v>2986</v>
      </c>
      <c r="H61" s="139"/>
      <c r="I61" s="254"/>
      <c r="J61" s="240"/>
    </row>
    <row r="62" spans="1:10" ht="14.1" customHeight="1" x14ac:dyDescent="0.25">
      <c r="A62" s="101"/>
      <c r="B62" s="24"/>
      <c r="C62" s="77" t="s">
        <v>136</v>
      </c>
      <c r="D62" s="254"/>
      <c r="E62" s="254"/>
      <c r="F62" s="254"/>
      <c r="G62" s="254"/>
      <c r="H62" s="178"/>
      <c r="I62" s="178"/>
      <c r="J62" s="120"/>
    </row>
    <row r="63" spans="1:10" ht="14.1" customHeight="1" x14ac:dyDescent="0.25">
      <c r="A63" s="101"/>
      <c r="B63" s="24"/>
      <c r="C63" s="161"/>
      <c r="D63" s="254"/>
      <c r="E63" s="254"/>
      <c r="F63" s="254"/>
      <c r="G63" s="254"/>
      <c r="H63" s="178"/>
      <c r="I63" s="178"/>
      <c r="J63" s="120"/>
    </row>
    <row r="64" spans="1:10" ht="15" customHeight="1" x14ac:dyDescent="0.25">
      <c r="A64" s="101"/>
      <c r="B64" s="24"/>
      <c r="C64" s="161"/>
      <c r="D64" s="254"/>
      <c r="E64" s="254"/>
      <c r="F64" s="254"/>
      <c r="G64" s="254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4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4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5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5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4" t="s">
        <v>1</v>
      </c>
      <c r="D81" s="295"/>
      <c r="E81" s="294" t="s">
        <v>2</v>
      </c>
      <c r="F81" s="303"/>
      <c r="G81" s="294" t="s">
        <v>3</v>
      </c>
      <c r="H81" s="295"/>
      <c r="I81" s="178"/>
      <c r="J81" s="240"/>
    </row>
    <row r="82" spans="1:10" ht="15" customHeight="1" x14ac:dyDescent="0.25">
      <c r="B82" s="250"/>
      <c r="C82" s="115" t="s">
        <v>6</v>
      </c>
      <c r="D82" s="117">
        <v>70605</v>
      </c>
      <c r="E82" s="255" t="s">
        <v>4</v>
      </c>
      <c r="F82" s="114">
        <v>26111</v>
      </c>
      <c r="G82" s="191" t="s">
        <v>5</v>
      </c>
      <c r="H82" s="114">
        <v>7669</v>
      </c>
      <c r="I82" s="178"/>
      <c r="J82" s="240"/>
    </row>
    <row r="83" spans="1:10" ht="15" customHeight="1" x14ac:dyDescent="0.25">
      <c r="B83" s="250"/>
      <c r="C83" s="115" t="s">
        <v>9</v>
      </c>
      <c r="D83" s="117">
        <v>61605</v>
      </c>
      <c r="E83" s="244" t="s">
        <v>7</v>
      </c>
      <c r="F83" s="117">
        <v>42603</v>
      </c>
      <c r="G83" s="191" t="s">
        <v>8</v>
      </c>
      <c r="H83" s="117">
        <v>31526</v>
      </c>
      <c r="I83" s="178"/>
      <c r="J83" s="240"/>
    </row>
    <row r="84" spans="1:10" ht="14.1" customHeight="1" x14ac:dyDescent="0.25">
      <c r="B84" s="250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3408</v>
      </c>
      <c r="I84" s="178"/>
      <c r="J84" s="240"/>
    </row>
    <row r="85" spans="1:10" ht="12" customHeight="1" x14ac:dyDescent="0.25">
      <c r="B85" s="250"/>
      <c r="C85" s="177" t="s">
        <v>49</v>
      </c>
      <c r="D85" s="189">
        <f>SUM(D82:D84)</f>
        <v>141000</v>
      </c>
      <c r="E85" s="177" t="s">
        <v>14</v>
      </c>
      <c r="F85" s="189">
        <f>SUM(F82:F84)</f>
        <v>70605</v>
      </c>
      <c r="G85" s="177" t="s">
        <v>7</v>
      </c>
      <c r="H85" s="189">
        <f>SUM(H82:H84)</f>
        <v>42603</v>
      </c>
      <c r="I85" s="178"/>
      <c r="J85" s="240"/>
    </row>
    <row r="86" spans="1:10" ht="14.25" customHeight="1" x14ac:dyDescent="0.25">
      <c r="A86" s="1"/>
      <c r="B86" s="250"/>
      <c r="C86" s="101" t="s">
        <v>120</v>
      </c>
      <c r="D86" s="216"/>
      <c r="E86" s="216"/>
      <c r="F86" s="216"/>
      <c r="G86" s="216"/>
      <c r="H86" s="216"/>
      <c r="I86" s="232"/>
      <c r="J86" s="120"/>
    </row>
    <row r="87" spans="1:10" ht="6" customHeight="1" x14ac:dyDescent="0.25">
      <c r="A87" s="1"/>
      <c r="B87" s="250"/>
      <c r="C87" s="96"/>
      <c r="D87" s="96"/>
      <c r="E87" s="96"/>
      <c r="F87" s="96"/>
      <c r="G87" s="96"/>
      <c r="H87" s="96"/>
      <c r="I87" s="232"/>
      <c r="J87" s="120"/>
    </row>
    <row r="88" spans="1:10" ht="14.1" customHeight="1" x14ac:dyDescent="0.25">
      <c r="A88" s="1"/>
      <c r="B88" s="135"/>
      <c r="C88" s="268"/>
      <c r="D88" s="109"/>
      <c r="E88" s="268"/>
      <c r="F88" s="268"/>
      <c r="G88" s="268"/>
      <c r="H88" s="268"/>
      <c r="I88" s="257"/>
      <c r="J88" s="184"/>
    </row>
    <row r="89" spans="1:10" ht="20.25" customHeight="1" x14ac:dyDescent="0.25">
      <c r="A89" s="1"/>
      <c r="B89" s="250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0"/>
      <c r="C90" s="286"/>
      <c r="D90" s="286"/>
      <c r="E90" s="286"/>
      <c r="F90" s="286"/>
      <c r="G90" s="286"/>
      <c r="H90" s="286"/>
      <c r="I90" s="286"/>
      <c r="J90" s="19"/>
    </row>
    <row r="91" spans="1:10" ht="54" customHeight="1" x14ac:dyDescent="0.25">
      <c r="A91" s="1"/>
      <c r="B91" s="250"/>
      <c r="C91" s="15" t="s">
        <v>16</v>
      </c>
      <c r="D91" s="113" t="s">
        <v>17</v>
      </c>
      <c r="E91" s="15" t="s">
        <v>50</v>
      </c>
      <c r="F91" s="15" t="s">
        <v>143</v>
      </c>
      <c r="G91" s="15" t="s">
        <v>144</v>
      </c>
      <c r="H91" s="15" t="s">
        <v>145</v>
      </c>
      <c r="I91" s="15" t="s">
        <v>146</v>
      </c>
      <c r="J91" s="120"/>
    </row>
    <row r="92" spans="1:10" ht="14.1" customHeight="1" x14ac:dyDescent="0.25">
      <c r="A92" s="1"/>
      <c r="B92" s="250"/>
      <c r="C92" s="32" t="s">
        <v>19</v>
      </c>
      <c r="D92" s="28">
        <f>D93+D94</f>
        <v>26111</v>
      </c>
      <c r="E92" s="28">
        <f>E94+E93</f>
        <v>25365</v>
      </c>
      <c r="F92" s="11">
        <f t="shared" ref="F92:I92" si="6">F94+F93</f>
        <v>125.1474</v>
      </c>
      <c r="G92" s="11">
        <f t="shared" si="6"/>
        <v>1488.1143900000002</v>
      </c>
      <c r="H92" s="11">
        <f t="shared" si="6"/>
        <v>23876.885609999998</v>
      </c>
      <c r="I92" s="11">
        <f t="shared" si="6"/>
        <v>1532.56113</v>
      </c>
      <c r="J92" s="240"/>
    </row>
    <row r="93" spans="1:10" ht="15" customHeight="1" x14ac:dyDescent="0.25">
      <c r="A93" s="1"/>
      <c r="B93" s="250"/>
      <c r="C93" s="44" t="s">
        <v>20</v>
      </c>
      <c r="D93" s="45">
        <v>25361</v>
      </c>
      <c r="E93" s="45">
        <v>24540</v>
      </c>
      <c r="F93" s="23">
        <f>113.673</f>
        <v>113.673</v>
      </c>
      <c r="G93" s="23">
        <f>1461.50599</f>
        <v>1461.5059900000001</v>
      </c>
      <c r="H93" s="23">
        <f>E93-G93</f>
        <v>23078.494009999999</v>
      </c>
      <c r="I93" s="23">
        <f>1517.12613</f>
        <v>1517.1261300000001</v>
      </c>
      <c r="J93" s="240"/>
    </row>
    <row r="94" spans="1:10" ht="14.1" customHeight="1" x14ac:dyDescent="0.25">
      <c r="A94" s="1"/>
      <c r="B94" s="250"/>
      <c r="C94" s="64" t="s">
        <v>21</v>
      </c>
      <c r="D94" s="49">
        <v>750</v>
      </c>
      <c r="E94" s="49">
        <v>825</v>
      </c>
      <c r="F94" s="50">
        <f>11.4744</f>
        <v>11.474399999999999</v>
      </c>
      <c r="G94" s="50">
        <f>26.6084</f>
        <v>26.6084</v>
      </c>
      <c r="H94" s="50">
        <f>E94-G94</f>
        <v>798.39160000000004</v>
      </c>
      <c r="I94" s="50">
        <f>15.435</f>
        <v>15.435</v>
      </c>
      <c r="J94" s="240"/>
    </row>
    <row r="95" spans="1:10" ht="15.75" customHeight="1" x14ac:dyDescent="0.25">
      <c r="A95" s="1"/>
      <c r="B95" s="52"/>
      <c r="C95" s="16" t="s">
        <v>22</v>
      </c>
      <c r="D95" s="28">
        <f>D96+D101+D102</f>
        <v>43825</v>
      </c>
      <c r="E95" s="28">
        <f>E96+E101+E102</f>
        <v>48022</v>
      </c>
      <c r="F95" s="11">
        <f t="shared" ref="F95:I95" si="7">F96+F101+F102</f>
        <v>929.23126000000013</v>
      </c>
      <c r="G95" s="11">
        <f t="shared" si="7"/>
        <v>6234.13411</v>
      </c>
      <c r="H95" s="11">
        <f t="shared" si="7"/>
        <v>41787.865889999994</v>
      </c>
      <c r="I95" s="11">
        <f t="shared" si="7"/>
        <v>4351.1709099999998</v>
      </c>
      <c r="J95" s="240"/>
    </row>
    <row r="96" spans="1:10" ht="14.1" customHeight="1" x14ac:dyDescent="0.25">
      <c r="A96" s="1"/>
      <c r="B96" s="53"/>
      <c r="C96" s="56" t="s">
        <v>23</v>
      </c>
      <c r="D96" s="58">
        <f>D97+D98+D99+D100</f>
        <v>32748</v>
      </c>
      <c r="E96" s="58">
        <f>E100+E99+E98+E97</f>
        <v>36774</v>
      </c>
      <c r="F96" s="132">
        <f t="shared" ref="F96:I96" si="8">F97+F98+F99+F100</f>
        <v>773.56221000000016</v>
      </c>
      <c r="G96" s="132">
        <f t="shared" si="8"/>
        <v>3282.4287399999998</v>
      </c>
      <c r="H96" s="132">
        <f t="shared" si="8"/>
        <v>33491.571259999997</v>
      </c>
      <c r="I96" s="132">
        <f t="shared" si="8"/>
        <v>2224.6424900000002</v>
      </c>
      <c r="J96" s="240"/>
    </row>
    <row r="97" spans="1:10" ht="14.1" customHeight="1" x14ac:dyDescent="0.25">
      <c r="A97" s="197"/>
      <c r="B97" s="182"/>
      <c r="C97" s="62" t="s">
        <v>24</v>
      </c>
      <c r="D97" s="63">
        <v>8749</v>
      </c>
      <c r="E97" s="63">
        <v>9824</v>
      </c>
      <c r="F97" s="127">
        <f>361.94542</f>
        <v>361.94542000000001</v>
      </c>
      <c r="G97" s="127">
        <f>1374.90363</f>
        <v>1374.90363</v>
      </c>
      <c r="H97" s="127">
        <f t="shared" ref="H97:H104" si="9">E97-G97</f>
        <v>8449.0963699999993</v>
      </c>
      <c r="I97" s="127">
        <f>712.21392</f>
        <v>712.21392000000003</v>
      </c>
      <c r="J97" s="240"/>
    </row>
    <row r="98" spans="1:10" ht="14.1" customHeight="1" x14ac:dyDescent="0.25">
      <c r="A98" s="197"/>
      <c r="B98" s="182"/>
      <c r="C98" s="62" t="s">
        <v>51</v>
      </c>
      <c r="D98" s="63">
        <v>9277</v>
      </c>
      <c r="E98" s="63">
        <v>10422</v>
      </c>
      <c r="F98" s="127">
        <f>265.45395</f>
        <v>265.45395000000002</v>
      </c>
      <c r="G98" s="127">
        <f>1432.43379</f>
        <v>1432.43379</v>
      </c>
      <c r="H98" s="127">
        <f t="shared" si="9"/>
        <v>8989.5662100000009</v>
      </c>
      <c r="I98" s="127">
        <f>931.68233</f>
        <v>931.68232999999998</v>
      </c>
      <c r="J98" s="240"/>
    </row>
    <row r="99" spans="1:10" ht="14.1" customHeight="1" x14ac:dyDescent="0.25">
      <c r="A99" s="197"/>
      <c r="B99" s="182"/>
      <c r="C99" s="62" t="s">
        <v>52</v>
      </c>
      <c r="D99" s="63">
        <v>8827</v>
      </c>
      <c r="E99" s="63">
        <v>9910</v>
      </c>
      <c r="F99" s="127">
        <f>115.95523</f>
        <v>115.95523</v>
      </c>
      <c r="G99" s="127">
        <f>339.1654</f>
        <v>339.16539999999998</v>
      </c>
      <c r="H99" s="127">
        <f t="shared" si="9"/>
        <v>9570.8346000000001</v>
      </c>
      <c r="I99" s="127">
        <f>394.47151</f>
        <v>394.47151000000002</v>
      </c>
      <c r="J99" s="240"/>
    </row>
    <row r="100" spans="1:10" ht="14.1" customHeight="1" x14ac:dyDescent="0.25">
      <c r="A100" s="197"/>
      <c r="B100" s="182"/>
      <c r="C100" s="62" t="s">
        <v>27</v>
      </c>
      <c r="D100" s="63">
        <v>5895</v>
      </c>
      <c r="E100" s="63">
        <v>6618</v>
      </c>
      <c r="F100" s="127">
        <f>30.20761</f>
        <v>30.207609999999999</v>
      </c>
      <c r="G100" s="127">
        <f>135.92592</f>
        <v>135.92591999999999</v>
      </c>
      <c r="H100" s="127">
        <f t="shared" si="9"/>
        <v>6482.0740800000003</v>
      </c>
      <c r="I100" s="127">
        <f>186.27473</f>
        <v>186.27473000000001</v>
      </c>
      <c r="J100" s="240"/>
    </row>
    <row r="101" spans="1:10" ht="14.1" customHeight="1" x14ac:dyDescent="0.25">
      <c r="A101" s="197"/>
      <c r="B101" s="182"/>
      <c r="C101" s="56" t="s">
        <v>53</v>
      </c>
      <c r="D101" s="58">
        <v>7669</v>
      </c>
      <c r="E101" s="58">
        <v>7422</v>
      </c>
      <c r="F101" s="132">
        <f>3.42912</f>
        <v>3.4291200000000002</v>
      </c>
      <c r="G101" s="132">
        <f>2356.70657</f>
        <v>2356.7065699999998</v>
      </c>
      <c r="H101" s="132">
        <f t="shared" si="9"/>
        <v>5065.2934299999997</v>
      </c>
      <c r="I101" s="132">
        <f>1768.08602</f>
        <v>1768.08602</v>
      </c>
      <c r="J101" s="240"/>
    </row>
    <row r="102" spans="1:10" ht="15.75" customHeight="1" x14ac:dyDescent="0.25">
      <c r="A102" s="1"/>
      <c r="B102" s="53"/>
      <c r="C102" s="38" t="s">
        <v>11</v>
      </c>
      <c r="D102" s="61">
        <v>3408</v>
      </c>
      <c r="E102" s="61">
        <v>3826</v>
      </c>
      <c r="F102" s="75">
        <f>152.23993</f>
        <v>152.23992999999999</v>
      </c>
      <c r="G102" s="75">
        <f>594.9988</f>
        <v>594.99879999999996</v>
      </c>
      <c r="H102" s="75">
        <f t="shared" si="9"/>
        <v>3231.0012000000002</v>
      </c>
      <c r="I102" s="75">
        <f>358.4424</f>
        <v>358.44240000000002</v>
      </c>
      <c r="J102" s="240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0.54892</f>
        <v>0.54891999999999996</v>
      </c>
      <c r="G103" s="98">
        <f>1.22032</f>
        <v>1.2203200000000001</v>
      </c>
      <c r="H103" s="98">
        <f t="shared" si="9"/>
        <v>317.77967999999998</v>
      </c>
      <c r="I103" s="98">
        <f>0.28747</f>
        <v>0.28747</v>
      </c>
      <c r="J103" s="240"/>
    </row>
    <row r="104" spans="1:10" ht="18" customHeight="1" x14ac:dyDescent="0.25">
      <c r="A104" s="1"/>
      <c r="B104" s="250"/>
      <c r="C104" s="73" t="s">
        <v>54</v>
      </c>
      <c r="D104" s="143">
        <v>300</v>
      </c>
      <c r="E104" s="143">
        <v>300</v>
      </c>
      <c r="F104" s="139">
        <f>0.91253</f>
        <v>0.91252999999999995</v>
      </c>
      <c r="G104" s="139">
        <v>300</v>
      </c>
      <c r="H104" s="139">
        <f t="shared" si="9"/>
        <v>0</v>
      </c>
      <c r="I104" s="139">
        <v>300</v>
      </c>
      <c r="J104" s="240"/>
    </row>
    <row r="105" spans="1:10" ht="16.5" customHeight="1" x14ac:dyDescent="0.25">
      <c r="A105" s="1"/>
      <c r="B105" s="250"/>
      <c r="C105" s="93" t="s">
        <v>38</v>
      </c>
      <c r="D105" s="143">
        <v>50</v>
      </c>
      <c r="E105" s="143">
        <v>50</v>
      </c>
      <c r="F105" s="98">
        <f>0.057</f>
        <v>5.7000000000000002E-2</v>
      </c>
      <c r="G105" s="98">
        <f>2.49566</f>
        <v>2.49566</v>
      </c>
      <c r="H105" s="139">
        <f>E105-G105</f>
        <v>47.504339999999999</v>
      </c>
      <c r="I105" s="98">
        <f>2.67102</f>
        <v>2.6710199999999999</v>
      </c>
      <c r="J105" s="240"/>
    </row>
    <row r="106" spans="1:10" ht="18" customHeight="1" x14ac:dyDescent="0.25">
      <c r="A106" s="1"/>
      <c r="B106" s="250"/>
      <c r="C106" s="93" t="s">
        <v>55</v>
      </c>
      <c r="D106" s="143"/>
      <c r="E106" s="139"/>
      <c r="F106" s="139">
        <f>0.231</f>
        <v>0.23100000000000001</v>
      </c>
      <c r="G106" s="139">
        <f>2.3208</f>
        <v>2.3208000000000002</v>
      </c>
      <c r="H106" s="139">
        <f t="shared" ref="H106" si="10">E106-G106</f>
        <v>-2.3208000000000002</v>
      </c>
      <c r="I106" s="139">
        <f>0.2</f>
        <v>0.2</v>
      </c>
      <c r="J106" s="240"/>
    </row>
    <row r="107" spans="1:10" ht="16.5" customHeight="1" x14ac:dyDescent="0.25">
      <c r="A107" s="1"/>
      <c r="B107" s="250"/>
      <c r="C107" s="74" t="s">
        <v>40</v>
      </c>
      <c r="D107" s="76">
        <f>D92+D95+D103+D104+D105+D106</f>
        <v>70605</v>
      </c>
      <c r="E107" s="76">
        <f t="shared" ref="E107" si="11">E92+E95+E103+E104+E105+E106</f>
        <v>74056</v>
      </c>
      <c r="F107" s="76">
        <f t="shared" ref="F107:I107" si="12">F92+F95+F103+F104+F105+F106</f>
        <v>1056.1281100000001</v>
      </c>
      <c r="G107" s="76">
        <f t="shared" si="12"/>
        <v>8028.2852800000001</v>
      </c>
      <c r="H107" s="76">
        <f t="shared" si="12"/>
        <v>66027.714719999989</v>
      </c>
      <c r="I107" s="76">
        <f t="shared" si="12"/>
        <v>6186.8905299999997</v>
      </c>
      <c r="J107" s="240"/>
    </row>
    <row r="108" spans="1:10" ht="13.5" customHeight="1" x14ac:dyDescent="0.25">
      <c r="A108" s="1"/>
      <c r="B108" s="250"/>
      <c r="C108" s="77" t="s">
        <v>137</v>
      </c>
      <c r="D108" s="100"/>
      <c r="E108" s="100"/>
      <c r="F108" s="102"/>
      <c r="G108" s="102"/>
      <c r="H108" s="104"/>
      <c r="I108" s="224"/>
      <c r="J108" s="240"/>
    </row>
    <row r="109" spans="1:10" ht="13.5" customHeight="1" x14ac:dyDescent="0.25">
      <c r="A109" s="1"/>
      <c r="B109" s="24"/>
      <c r="C109" s="161" t="s">
        <v>148</v>
      </c>
      <c r="D109" s="254"/>
      <c r="E109" s="254"/>
      <c r="F109" s="80"/>
      <c r="G109" s="80"/>
      <c r="H109" s="224"/>
      <c r="I109" s="224"/>
      <c r="J109" s="105"/>
    </row>
    <row r="110" spans="1:10" ht="15" customHeight="1" x14ac:dyDescent="0.25">
      <c r="A110" s="1"/>
      <c r="B110" s="24"/>
      <c r="C110" s="161" t="s">
        <v>138</v>
      </c>
      <c r="D110" s="254"/>
      <c r="E110" s="254"/>
      <c r="F110" s="80"/>
      <c r="G110" s="80"/>
      <c r="H110" s="224"/>
      <c r="I110" s="224"/>
      <c r="J110" s="105"/>
    </row>
    <row r="111" spans="1:10" ht="15" customHeight="1" x14ac:dyDescent="0.25">
      <c r="A111" s="1"/>
      <c r="B111" s="24"/>
      <c r="C111" s="224" t="s">
        <v>56</v>
      </c>
      <c r="D111" s="254"/>
      <c r="E111" s="254"/>
      <c r="F111" s="80"/>
      <c r="G111" s="80"/>
      <c r="H111" s="224"/>
      <c r="I111" s="224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4"/>
      <c r="E113" s="224"/>
      <c r="F113" s="224"/>
      <c r="G113" s="224"/>
      <c r="H113" s="224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4"/>
      <c r="B115" s="214"/>
      <c r="C115" s="215" t="s">
        <v>57</v>
      </c>
      <c r="D115" s="214"/>
      <c r="E115" s="214"/>
      <c r="F115" s="214"/>
      <c r="G115" s="214"/>
      <c r="H115" s="214"/>
      <c r="I115" s="214"/>
      <c r="J115" s="214"/>
    </row>
    <row r="116" spans="1:10" ht="3" customHeight="1" x14ac:dyDescent="0.25">
      <c r="A116" s="214"/>
      <c r="B116" s="214"/>
      <c r="C116" s="215"/>
      <c r="D116" s="214"/>
      <c r="E116" s="214"/>
      <c r="F116" s="214"/>
      <c r="G116" s="214"/>
      <c r="H116" s="214"/>
      <c r="I116" s="214"/>
      <c r="J116" s="214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0"/>
    </row>
    <row r="119" spans="1:10" ht="14.1" customHeight="1" x14ac:dyDescent="0.25">
      <c r="A119" s="1"/>
      <c r="B119" s="250"/>
      <c r="C119" s="115" t="s">
        <v>6</v>
      </c>
      <c r="D119" s="117">
        <v>212994</v>
      </c>
      <c r="E119" s="99" t="s">
        <v>4</v>
      </c>
      <c r="F119" s="114">
        <v>77294</v>
      </c>
      <c r="G119" s="115" t="s">
        <v>5</v>
      </c>
      <c r="H119" s="114">
        <v>8732</v>
      </c>
      <c r="I119" s="178"/>
      <c r="J119" s="240"/>
    </row>
    <row r="120" spans="1:10" ht="14.1" customHeight="1" x14ac:dyDescent="0.25">
      <c r="A120" s="1"/>
      <c r="B120" s="250"/>
      <c r="C120" s="115" t="s">
        <v>9</v>
      </c>
      <c r="D120" s="117">
        <v>12100</v>
      </c>
      <c r="E120" s="115" t="s">
        <v>7</v>
      </c>
      <c r="F120" s="117">
        <v>79383</v>
      </c>
      <c r="G120" s="115" t="s">
        <v>8</v>
      </c>
      <c r="H120" s="117">
        <v>59537</v>
      </c>
      <c r="I120" s="178"/>
      <c r="J120" s="240"/>
    </row>
    <row r="121" spans="1:10" ht="14.1" customHeight="1" x14ac:dyDescent="0.25">
      <c r="A121" s="1"/>
      <c r="B121" s="250"/>
      <c r="C121" s="244" t="s">
        <v>58</v>
      </c>
      <c r="D121" s="117">
        <v>1700</v>
      </c>
      <c r="E121" s="115" t="s">
        <v>59</v>
      </c>
      <c r="F121" s="117">
        <v>52226</v>
      </c>
      <c r="G121" s="115" t="s">
        <v>11</v>
      </c>
      <c r="H121" s="117">
        <v>11114</v>
      </c>
      <c r="I121" s="178"/>
      <c r="J121" s="240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4091</v>
      </c>
      <c r="G122" s="115"/>
      <c r="H122" s="165"/>
      <c r="I122" s="178"/>
      <c r="J122" s="240"/>
    </row>
    <row r="123" spans="1:10" ht="12" customHeight="1" x14ac:dyDescent="0.25">
      <c r="A123" s="1"/>
      <c r="B123" s="250"/>
      <c r="C123" s="177" t="s">
        <v>49</v>
      </c>
      <c r="D123" s="189">
        <v>226794</v>
      </c>
      <c r="E123" s="112" t="s">
        <v>14</v>
      </c>
      <c r="F123" s="189">
        <v>212994</v>
      </c>
      <c r="G123" s="177" t="s">
        <v>7</v>
      </c>
      <c r="H123" s="35">
        <v>79383</v>
      </c>
      <c r="I123" s="178"/>
      <c r="J123" s="240"/>
    </row>
    <row r="124" spans="1:10" ht="12" customHeight="1" x14ac:dyDescent="0.25">
      <c r="A124" s="101"/>
      <c r="B124" s="24"/>
      <c r="C124" s="101" t="s">
        <v>118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7"/>
      <c r="C125" s="268"/>
      <c r="D125" s="268"/>
      <c r="E125" s="229"/>
      <c r="F125" s="229"/>
      <c r="G125" s="229"/>
      <c r="H125" s="229"/>
      <c r="I125" s="229"/>
      <c r="J125" s="241"/>
    </row>
    <row r="126" spans="1:10" ht="25.5" customHeight="1" x14ac:dyDescent="0.25">
      <c r="A126" s="1"/>
      <c r="B126" s="250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0" t="s">
        <v>16</v>
      </c>
      <c r="D127" s="15" t="s">
        <v>17</v>
      </c>
      <c r="E127" s="15" t="s">
        <v>61</v>
      </c>
      <c r="F127" s="15" t="s">
        <v>143</v>
      </c>
      <c r="G127" s="15" t="s">
        <v>144</v>
      </c>
      <c r="H127" s="15" t="s">
        <v>145</v>
      </c>
      <c r="I127" s="15" t="s">
        <v>146</v>
      </c>
      <c r="J127" s="276"/>
    </row>
    <row r="128" spans="1:10" ht="14.1" customHeight="1" x14ac:dyDescent="0.25">
      <c r="A128" s="1"/>
      <c r="B128" s="250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331.42129999999997</v>
      </c>
      <c r="G128" s="11">
        <f t="shared" si="13"/>
        <v>4780.99773</v>
      </c>
      <c r="H128" s="11">
        <f t="shared" si="13"/>
        <v>67526.002269999997</v>
      </c>
      <c r="I128" s="11">
        <f t="shared" si="13"/>
        <v>12451.506270000002</v>
      </c>
      <c r="J128" s="240"/>
    </row>
    <row r="129" spans="1:10" ht="14.1" customHeight="1" x14ac:dyDescent="0.25">
      <c r="A129" s="1"/>
      <c r="B129" s="250"/>
      <c r="C129" s="44" t="s">
        <v>20</v>
      </c>
      <c r="D129" s="45">
        <v>60688</v>
      </c>
      <c r="E129" s="45">
        <v>57562</v>
      </c>
      <c r="F129" s="23">
        <f>75.2328</f>
        <v>75.232799999999997</v>
      </c>
      <c r="G129" s="23">
        <f>3968.51883</f>
        <v>3968.51883</v>
      </c>
      <c r="H129" s="23">
        <f>E129-G129</f>
        <v>53593.481169999999</v>
      </c>
      <c r="I129" s="23">
        <f>11599.57162</f>
        <v>11599.571620000001</v>
      </c>
      <c r="J129" s="240"/>
    </row>
    <row r="130" spans="1:10" ht="15" customHeight="1" x14ac:dyDescent="0.25">
      <c r="A130" s="1"/>
      <c r="B130" s="250"/>
      <c r="C130" s="44" t="s">
        <v>21</v>
      </c>
      <c r="D130" s="45">
        <v>14672</v>
      </c>
      <c r="E130" s="45">
        <v>14245</v>
      </c>
      <c r="F130" s="23">
        <f>250.2765</f>
        <v>250.2765</v>
      </c>
      <c r="G130" s="23">
        <f>775.1079</f>
        <v>775.10789999999997</v>
      </c>
      <c r="H130" s="23">
        <f>E130-G130</f>
        <v>13469.892100000001</v>
      </c>
      <c r="I130" s="23">
        <f>814.12965</f>
        <v>814.12964999999997</v>
      </c>
      <c r="J130" s="240"/>
    </row>
    <row r="131" spans="1:10" ht="13.5" customHeight="1" x14ac:dyDescent="0.25">
      <c r="A131" s="1"/>
      <c r="B131" s="250"/>
      <c r="C131" s="48" t="s">
        <v>63</v>
      </c>
      <c r="D131" s="33">
        <v>500</v>
      </c>
      <c r="E131" s="33">
        <v>500</v>
      </c>
      <c r="F131" s="23">
        <f>5.912</f>
        <v>5.9119999999999999</v>
      </c>
      <c r="G131" s="23">
        <f>37.371</f>
        <v>37.371000000000002</v>
      </c>
      <c r="H131" s="55">
        <f>E131-G131</f>
        <v>462.62900000000002</v>
      </c>
      <c r="I131" s="23">
        <f>37.805</f>
        <v>37.805</v>
      </c>
      <c r="J131" s="240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1.40855</f>
        <v>1.40855</v>
      </c>
      <c r="G132" s="95">
        <f>18.1364</f>
        <v>18.136399999999998</v>
      </c>
      <c r="H132" s="95">
        <f>E132-G132</f>
        <v>52477.863599999997</v>
      </c>
      <c r="I132" s="95">
        <f>8.22095</f>
        <v>8.2209500000000002</v>
      </c>
      <c r="J132" s="116"/>
    </row>
    <row r="133" spans="1:10" ht="15.75" customHeight="1" x14ac:dyDescent="0.25">
      <c r="A133" s="1"/>
      <c r="B133" s="250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2410.9863299999997</v>
      </c>
      <c r="G133" s="94">
        <f t="shared" ref="G133" si="14">G134+G139+G142</f>
        <v>14702.479079999999</v>
      </c>
      <c r="H133" s="94">
        <f>H134+H139+H142</f>
        <v>65462.52092000001</v>
      </c>
      <c r="I133" s="94">
        <f>I134+I139+I142</f>
        <v>16467.351290000002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2209.2901899999997</v>
      </c>
      <c r="G134" s="125">
        <f>G135+G136+G138+G137</f>
        <v>11811.68044</v>
      </c>
      <c r="H134" s="125">
        <f>H135+H136+H137+H138</f>
        <v>47267.319560000004</v>
      </c>
      <c r="I134" s="125">
        <f>I135+I136+I137+I138</f>
        <v>15264.573220000002</v>
      </c>
      <c r="J134" s="276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359.43414</f>
        <v>359.43414000000001</v>
      </c>
      <c r="G135" s="127">
        <v>2657.3856599999999</v>
      </c>
      <c r="H135" s="127">
        <f>E135-G135</f>
        <v>15116.61434</v>
      </c>
      <c r="I135" s="127">
        <f>2767.72922</f>
        <v>2767.7292200000002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807.34125</f>
        <v>807.34124999999995</v>
      </c>
      <c r="G136" s="127">
        <v>4178.89797</v>
      </c>
      <c r="H136" s="127">
        <f>E136-G136</f>
        <v>10760.10203</v>
      </c>
      <c r="I136" s="127">
        <f>4405.51551</f>
        <v>4405.5155100000002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496.54882</f>
        <v>496.54881999999998</v>
      </c>
      <c r="G137" s="127">
        <v>2576.5540100000003</v>
      </c>
      <c r="H137" s="127">
        <f>E137-G137</f>
        <v>10474.44599</v>
      </c>
      <c r="I137" s="127">
        <f>3518.9634</f>
        <v>3518.9634000000001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545.96598</f>
        <v>545.96597999999994</v>
      </c>
      <c r="G138" s="127">
        <v>2398.8427999999999</v>
      </c>
      <c r="H138" s="127">
        <f>E138-G138</f>
        <v>10916.1572</v>
      </c>
      <c r="I138" s="127">
        <f>4572.36509</f>
        <v>4572.3650900000002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36.135899999999999</v>
      </c>
      <c r="G139" s="132">
        <f>SUM(G140:G141)</f>
        <v>1927.52673</v>
      </c>
      <c r="H139" s="132">
        <f>H140+H141</f>
        <v>7002.4732700000004</v>
      </c>
      <c r="I139" s="132">
        <f>SUM(I140:I141)</f>
        <v>424.04497000000003</v>
      </c>
      <c r="J139" s="133"/>
    </row>
    <row r="140" spans="1:10" ht="14.1" customHeight="1" x14ac:dyDescent="0.25">
      <c r="A140" s="1"/>
      <c r="B140" s="250"/>
      <c r="C140" s="62" t="s">
        <v>66</v>
      </c>
      <c r="D140" s="63">
        <v>8070</v>
      </c>
      <c r="E140" s="63">
        <v>8430</v>
      </c>
      <c r="F140" s="127">
        <f>14.9064</f>
        <v>14.9064</v>
      </c>
      <c r="G140" s="127">
        <f>1864.99021</f>
        <v>1864.9902099999999</v>
      </c>
      <c r="H140" s="127">
        <f t="shared" ref="H140:H148" si="15">E140-G140</f>
        <v>6565.0097900000001</v>
      </c>
      <c r="I140" s="127">
        <f>409.60228</f>
        <v>409.60228000000001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21.2295</f>
        <v>21.229500000000002</v>
      </c>
      <c r="G141" s="127">
        <f>62.53652</f>
        <v>62.536520000000003</v>
      </c>
      <c r="H141" s="127">
        <f t="shared" si="15"/>
        <v>437.46348</v>
      </c>
      <c r="I141" s="127">
        <f>14.44269</f>
        <v>14.442690000000001</v>
      </c>
      <c r="J141" s="134"/>
    </row>
    <row r="142" spans="1:10" ht="15.75" customHeight="1" x14ac:dyDescent="0.25">
      <c r="A142" s="1"/>
      <c r="B142" s="250"/>
      <c r="C142" s="38" t="s">
        <v>11</v>
      </c>
      <c r="D142" s="61">
        <v>10907</v>
      </c>
      <c r="E142" s="61">
        <v>12156</v>
      </c>
      <c r="F142" s="75">
        <f>165.56024</f>
        <v>165.56023999999999</v>
      </c>
      <c r="G142" s="75">
        <f>963.27191</f>
        <v>963.27191000000005</v>
      </c>
      <c r="H142" s="75">
        <f t="shared" si="15"/>
        <v>11192.728090000001</v>
      </c>
      <c r="I142" s="75">
        <f>778.7331</f>
        <v>778.73310000000004</v>
      </c>
      <c r="J142" s="120"/>
    </row>
    <row r="143" spans="1:10" ht="15.75" customHeight="1" x14ac:dyDescent="0.25">
      <c r="A143" s="1"/>
      <c r="B143" s="250"/>
      <c r="C143" s="142" t="s">
        <v>34</v>
      </c>
      <c r="D143" s="143">
        <v>146</v>
      </c>
      <c r="E143" s="143">
        <v>146</v>
      </c>
      <c r="F143" s="139">
        <f>0.38258</f>
        <v>0.38257999999999998</v>
      </c>
      <c r="G143" s="139">
        <f>1.02303</f>
        <v>1.0230300000000001</v>
      </c>
      <c r="H143" s="139">
        <f t="shared" si="15"/>
        <v>144.97696999999999</v>
      </c>
      <c r="I143" s="139">
        <f>1.3114</f>
        <v>1.3113999999999999</v>
      </c>
      <c r="J143" s="120"/>
    </row>
    <row r="144" spans="1:10" ht="15.75" customHeight="1" x14ac:dyDescent="0.25">
      <c r="A144" s="1"/>
      <c r="B144" s="250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0"/>
      <c r="C145" s="140" t="s">
        <v>69</v>
      </c>
      <c r="D145" s="143">
        <v>2000</v>
      </c>
      <c r="E145" s="143">
        <v>2000</v>
      </c>
      <c r="F145" s="139">
        <f>7.02781</f>
        <v>7.0278099999999997</v>
      </c>
      <c r="G145" s="139">
        <v>2000</v>
      </c>
      <c r="H145" s="139">
        <f t="shared" si="15"/>
        <v>0</v>
      </c>
      <c r="I145" s="139">
        <v>2000</v>
      </c>
      <c r="J145" s="240"/>
    </row>
    <row r="146" spans="1:10" ht="15.75" customHeight="1" x14ac:dyDescent="0.25">
      <c r="A146" s="1"/>
      <c r="B146" s="250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0"/>
      <c r="C147" s="142" t="s">
        <v>70</v>
      </c>
      <c r="D147" s="143">
        <v>276</v>
      </c>
      <c r="E147" s="143">
        <v>276</v>
      </c>
      <c r="F147" s="98">
        <f>1.897</f>
        <v>1.897</v>
      </c>
      <c r="G147" s="98">
        <f>6.44465</f>
        <v>6.4446500000000002</v>
      </c>
      <c r="H147" s="139">
        <f t="shared" si="15"/>
        <v>269.55534999999998</v>
      </c>
      <c r="I147" s="98">
        <f>12.25935</f>
        <v>12.25935</v>
      </c>
      <c r="J147" s="120"/>
    </row>
    <row r="148" spans="1:10" ht="15" customHeight="1" x14ac:dyDescent="0.25">
      <c r="A148" s="1"/>
      <c r="B148" s="250"/>
      <c r="C148" s="142" t="s">
        <v>39</v>
      </c>
      <c r="D148" s="145"/>
      <c r="E148" s="143"/>
      <c r="F148" s="139">
        <f>8.209</f>
        <v>8.2089999999999996</v>
      </c>
      <c r="G148" s="139">
        <f>55.5365</f>
        <v>55.536499999999997</v>
      </c>
      <c r="H148" s="139">
        <f t="shared" si="15"/>
        <v>-55.536499999999997</v>
      </c>
      <c r="I148" s="139">
        <f>37.758</f>
        <v>37.758000000000003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2761.3325699999996</v>
      </c>
      <c r="G150" s="76">
        <f>G128+G132+G133+G143+G144+G145+G146+G147+G148</f>
        <v>21564.617389999999</v>
      </c>
      <c r="H150" s="76">
        <f>H128+H132+H133+H143+H144+H145+H146+H147+H148</f>
        <v>186075.38261000003</v>
      </c>
      <c r="I150" s="76">
        <f>I128+I132+I133+I143+I144+I145+I146+I147+I148</f>
        <v>30978.407260000007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139</v>
      </c>
      <c r="D152" s="119"/>
      <c r="E152" s="119"/>
      <c r="F152" s="119"/>
      <c r="G152" s="119"/>
      <c r="H152" s="163"/>
      <c r="I152" s="156"/>
      <c r="J152" s="276"/>
    </row>
    <row r="153" spans="1:10" ht="14.25" customHeight="1" x14ac:dyDescent="0.2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76"/>
    </row>
    <row r="154" spans="1:10" ht="14.25" customHeight="1" x14ac:dyDescent="0.25">
      <c r="A154" s="156"/>
      <c r="B154" s="52"/>
      <c r="C154" s="77" t="s">
        <v>149</v>
      </c>
      <c r="D154" s="119"/>
      <c r="E154" s="119"/>
      <c r="F154" s="119"/>
      <c r="G154" s="119"/>
      <c r="H154" s="163"/>
      <c r="I154" s="163"/>
      <c r="J154" s="276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6"/>
    </row>
    <row r="156" spans="1:10" ht="15.75" customHeight="1" x14ac:dyDescent="0.25">
      <c r="A156" s="156"/>
      <c r="B156" s="52"/>
      <c r="C156" s="77" t="s">
        <v>140</v>
      </c>
      <c r="D156" s="119"/>
      <c r="E156" s="119"/>
      <c r="F156" s="119"/>
      <c r="G156" s="119"/>
      <c r="H156" s="163"/>
      <c r="I156" s="163"/>
      <c r="J156" s="276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5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5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0"/>
      <c r="C165" s="149" t="s">
        <v>1</v>
      </c>
      <c r="D165" s="185"/>
      <c r="E165" s="277"/>
      <c r="F165" s="277"/>
      <c r="G165" s="277"/>
      <c r="H165" s="1"/>
      <c r="I165" s="1"/>
      <c r="J165" s="120"/>
    </row>
    <row r="166" spans="1:10" ht="14.1" customHeight="1" x14ac:dyDescent="0.25">
      <c r="A166" s="1"/>
      <c r="B166" s="250"/>
      <c r="C166" s="177" t="s">
        <v>6</v>
      </c>
      <c r="D166" s="189">
        <v>12735</v>
      </c>
      <c r="E166" s="277"/>
      <c r="F166" s="277"/>
      <c r="G166" s="277"/>
      <c r="H166" s="1"/>
      <c r="I166" s="1"/>
      <c r="J166" s="120"/>
    </row>
    <row r="167" spans="1:10" ht="14.1" customHeight="1" x14ac:dyDescent="0.25">
      <c r="A167" s="1"/>
      <c r="B167" s="250"/>
      <c r="C167" s="177" t="s">
        <v>9</v>
      </c>
      <c r="D167" s="189">
        <v>11325</v>
      </c>
      <c r="E167" s="277"/>
      <c r="F167" s="277"/>
      <c r="G167" s="231"/>
      <c r="H167" s="1"/>
      <c r="I167" s="1"/>
      <c r="J167" s="120"/>
    </row>
    <row r="168" spans="1:10" ht="14.1" customHeight="1" x14ac:dyDescent="0.25">
      <c r="A168" s="1"/>
      <c r="B168" s="250"/>
      <c r="C168" s="177" t="s">
        <v>74</v>
      </c>
      <c r="D168" s="189">
        <v>940</v>
      </c>
      <c r="E168" s="277"/>
      <c r="F168" s="277"/>
      <c r="G168" s="277"/>
      <c r="H168" s="1"/>
      <c r="I168" s="1"/>
      <c r="J168" s="120"/>
    </row>
    <row r="169" spans="1:10" ht="14.1" customHeight="1" x14ac:dyDescent="0.25">
      <c r="A169" s="1"/>
      <c r="B169" s="250"/>
      <c r="C169" s="177" t="s">
        <v>49</v>
      </c>
      <c r="D169" s="189">
        <v>25000</v>
      </c>
      <c r="E169" s="277"/>
      <c r="F169" s="277"/>
      <c r="G169" s="277"/>
      <c r="H169" s="1"/>
      <c r="I169" s="1"/>
      <c r="J169" s="120"/>
    </row>
    <row r="170" spans="1:10" ht="14.1" customHeight="1" x14ac:dyDescent="0.25">
      <c r="A170" s="1"/>
      <c r="B170" s="250"/>
      <c r="C170" s="1"/>
      <c r="D170" s="47"/>
      <c r="E170" s="277"/>
      <c r="F170" s="277"/>
      <c r="G170" s="277"/>
      <c r="H170" s="1"/>
      <c r="I170" s="1"/>
      <c r="J170" s="120"/>
    </row>
    <row r="171" spans="1:10" ht="3.75" customHeight="1" x14ac:dyDescent="0.25">
      <c r="A171" s="1"/>
      <c r="B171" s="237"/>
      <c r="C171" s="159"/>
      <c r="D171" s="159"/>
      <c r="E171" s="263"/>
      <c r="F171" s="263"/>
      <c r="G171" s="263"/>
      <c r="H171" s="229"/>
      <c r="I171" s="229"/>
      <c r="J171" s="241"/>
    </row>
    <row r="172" spans="1:10" ht="24.75" customHeight="1" x14ac:dyDescent="0.25">
      <c r="A172" s="1"/>
      <c r="B172" s="250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0"/>
      <c r="D173" s="220"/>
      <c r="E173" s="220"/>
      <c r="F173" s="220"/>
      <c r="G173" s="220"/>
      <c r="H173" s="220"/>
      <c r="I173" s="220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143</v>
      </c>
      <c r="F174" s="15" t="s">
        <v>144</v>
      </c>
      <c r="G174" s="54" t="s">
        <v>145</v>
      </c>
      <c r="H174" s="15" t="s">
        <v>146</v>
      </c>
      <c r="I174" s="156"/>
      <c r="J174" s="276"/>
    </row>
    <row r="175" spans="1:10" ht="14.1" customHeight="1" x14ac:dyDescent="0.25">
      <c r="A175" s="1"/>
      <c r="B175" s="250"/>
      <c r="C175" s="141" t="s">
        <v>75</v>
      </c>
      <c r="D175" s="94">
        <v>4988</v>
      </c>
      <c r="E175" s="272">
        <f>22.88191</f>
        <v>22.881910000000001</v>
      </c>
      <c r="F175" s="272">
        <f>148.99938</f>
        <v>148.99938</v>
      </c>
      <c r="G175" s="43">
        <f>D175-F175-F176</f>
        <v>4767.01145</v>
      </c>
      <c r="H175" s="272">
        <f>208.71481</f>
        <v>208.71481</v>
      </c>
      <c r="I175" s="1"/>
      <c r="J175" s="120"/>
    </row>
    <row r="176" spans="1:10" ht="14.1" customHeight="1" x14ac:dyDescent="0.25">
      <c r="A176" s="1"/>
      <c r="B176" s="250"/>
      <c r="C176" s="137" t="s">
        <v>53</v>
      </c>
      <c r="D176" s="181"/>
      <c r="E176" s="152">
        <f>0</f>
        <v>0</v>
      </c>
      <c r="F176" s="152">
        <f>71.98917</f>
        <v>71.989170000000001</v>
      </c>
      <c r="G176" s="213"/>
      <c r="H176" s="152">
        <f>122.56177</f>
        <v>122.56177</v>
      </c>
      <c r="I176" s="1"/>
      <c r="J176" s="120"/>
    </row>
    <row r="177" spans="1:10" ht="15.6" customHeight="1" x14ac:dyDescent="0.25">
      <c r="A177" s="1"/>
      <c r="B177" s="250"/>
      <c r="C177" s="169" t="s">
        <v>76</v>
      </c>
      <c r="D177" s="98">
        <v>200</v>
      </c>
      <c r="E177" s="172">
        <f>0.006</f>
        <v>6.0000000000000001E-3</v>
      </c>
      <c r="F177" s="172">
        <f>0.18614</f>
        <v>0.18614</v>
      </c>
      <c r="G177" s="172">
        <f>D177-F177</f>
        <v>199.81386000000001</v>
      </c>
      <c r="H177" s="172">
        <f>15.06608</f>
        <v>15.066079999999999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7481</v>
      </c>
      <c r="E178" s="181">
        <f>E179+E180+E181</f>
        <v>1.6248399999999998</v>
      </c>
      <c r="F178" s="181">
        <f>F179+F180+F181</f>
        <v>2.81684</v>
      </c>
      <c r="G178" s="181">
        <f>D178-F178</f>
        <v>7478.1831599999996</v>
      </c>
      <c r="H178" s="181">
        <f>H179+H180+H181</f>
        <v>1.8207800000000001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0.18642</f>
        <v>0.18642</v>
      </c>
      <c r="F179" s="127">
        <f>0.3025</f>
        <v>0.30249999999999999</v>
      </c>
      <c r="G179" s="127"/>
      <c r="H179" s="127">
        <f>0.22572</f>
        <v>0.22572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0.31218</f>
        <v>0.31218000000000001</v>
      </c>
      <c r="F180" s="127">
        <f>0.4331</f>
        <v>0.43309999999999998</v>
      </c>
      <c r="G180" s="127"/>
      <c r="H180" s="127">
        <f>1.00342</f>
        <v>1.00342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1.12624</f>
        <v>1.1262399999999999</v>
      </c>
      <c r="F181" s="192">
        <f>2.08124</f>
        <v>2.0812400000000002</v>
      </c>
      <c r="G181" s="192"/>
      <c r="H181" s="192">
        <f>0.59164</f>
        <v>0.59164000000000005</v>
      </c>
      <c r="I181" s="186"/>
      <c r="J181" s="187"/>
    </row>
    <row r="182" spans="1:10" ht="14.1" customHeight="1" x14ac:dyDescent="0.25">
      <c r="A182" s="1"/>
      <c r="B182" s="250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0"/>
    </row>
    <row r="183" spans="1:10" ht="16.5" customHeight="1" x14ac:dyDescent="0.25">
      <c r="A183" s="1"/>
      <c r="B183" s="250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0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12735</v>
      </c>
      <c r="E184" s="194">
        <f>E175+E176+E177+E178+E182+E183</f>
        <v>24.51275</v>
      </c>
      <c r="F184" s="194">
        <f>F175+F176+F177+F178+F182+F183</f>
        <v>223.99153000000001</v>
      </c>
      <c r="G184" s="194">
        <f>D184-F184</f>
        <v>12511.008470000001</v>
      </c>
      <c r="H184" s="194">
        <f>H175+H176+H177+H178+H182+H183</f>
        <v>348.16343999999998</v>
      </c>
      <c r="I184" s="163"/>
      <c r="J184" s="160"/>
    </row>
    <row r="185" spans="1:10" ht="42" customHeight="1" x14ac:dyDescent="0.25">
      <c r="A185" s="1"/>
      <c r="B185" s="198"/>
      <c r="C185" s="223" t="s">
        <v>119</v>
      </c>
      <c r="D185" s="223"/>
      <c r="E185" s="223"/>
      <c r="F185" s="223"/>
      <c r="G185" s="223"/>
      <c r="H185" s="220"/>
      <c r="I185" s="220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1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1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2"/>
      <c r="D191" s="233"/>
      <c r="E191" s="233"/>
      <c r="F191" s="233"/>
      <c r="G191" s="233"/>
      <c r="H191" s="154"/>
      <c r="I191" s="154"/>
      <c r="J191" s="162"/>
    </row>
    <row r="192" spans="1:10" ht="15" customHeight="1" x14ac:dyDescent="0.25">
      <c r="A192" s="150"/>
      <c r="B192" s="250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0"/>
      <c r="C193" s="255" t="s">
        <v>84</v>
      </c>
      <c r="D193" s="266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0"/>
      <c r="C194" s="244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0"/>
      <c r="C195" s="244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0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0"/>
      <c r="C197" s="101" t="s">
        <v>126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0"/>
      <c r="C198" s="101" t="s">
        <v>127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0"/>
      <c r="C199" s="101" t="s">
        <v>130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37"/>
      <c r="C200" s="263"/>
      <c r="D200" s="159"/>
      <c r="E200" s="159"/>
      <c r="F200" s="263"/>
      <c r="G200" s="263"/>
      <c r="H200" s="263"/>
      <c r="I200" s="229"/>
      <c r="J200" s="241"/>
    </row>
    <row r="201" spans="1:10" ht="23.25" customHeight="1" x14ac:dyDescent="0.25">
      <c r="A201" s="1"/>
      <c r="B201" s="250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0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0"/>
      <c r="C203" s="68" t="s">
        <v>16</v>
      </c>
      <c r="D203" s="79" t="s">
        <v>2</v>
      </c>
      <c r="E203" s="68" t="s">
        <v>143</v>
      </c>
      <c r="F203" s="68" t="s">
        <v>144</v>
      </c>
      <c r="G203" s="68" t="s">
        <v>145</v>
      </c>
      <c r="H203" s="68" t="s">
        <v>146</v>
      </c>
      <c r="I203" s="1"/>
      <c r="J203" s="120"/>
    </row>
    <row r="204" spans="1:10" ht="15" customHeight="1" x14ac:dyDescent="0.25">
      <c r="A204" s="1"/>
      <c r="B204" s="250"/>
      <c r="C204" s="90" t="s">
        <v>4</v>
      </c>
      <c r="D204" s="124">
        <v>46282</v>
      </c>
      <c r="E204" s="124">
        <f>172.10543</f>
        <v>172.10543000000001</v>
      </c>
      <c r="F204" s="124">
        <f>8118.16936</f>
        <v>8118.1693599999999</v>
      </c>
      <c r="G204" s="124">
        <f>D204-F204</f>
        <v>38163.83064</v>
      </c>
      <c r="H204" s="124">
        <f>4419.94871</f>
        <v>4419.9487099999997</v>
      </c>
      <c r="I204" s="244"/>
      <c r="J204" s="120"/>
    </row>
    <row r="205" spans="1:10" ht="15" customHeight="1" x14ac:dyDescent="0.25">
      <c r="A205" s="1"/>
      <c r="B205" s="250"/>
      <c r="C205" s="90" t="s">
        <v>67</v>
      </c>
      <c r="D205" s="124">
        <v>100</v>
      </c>
      <c r="E205" s="124">
        <f>0.014</f>
        <v>1.4E-2</v>
      </c>
      <c r="F205" s="124">
        <f>0.48222</f>
        <v>0.48221999999999998</v>
      </c>
      <c r="G205" s="124">
        <f>D205-F205</f>
        <v>99.517780000000002</v>
      </c>
      <c r="H205" s="124">
        <f>0.0075</f>
        <v>7.4999999999999997E-3</v>
      </c>
      <c r="I205" s="244"/>
      <c r="J205" s="120"/>
    </row>
    <row r="206" spans="1:10" ht="15.75" customHeight="1" x14ac:dyDescent="0.25">
      <c r="A206" s="1"/>
      <c r="B206" s="250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4"/>
      <c r="J206" s="120"/>
    </row>
    <row r="207" spans="1:10" ht="16.5" customHeight="1" x14ac:dyDescent="0.25">
      <c r="A207" s="1"/>
      <c r="B207" s="250"/>
      <c r="C207" s="179" t="s">
        <v>87</v>
      </c>
      <c r="D207" s="190">
        <f>SUM(D204:D206)</f>
        <v>46418</v>
      </c>
      <c r="E207" s="190">
        <f>SUM(E204:E206)</f>
        <v>172.11943000000002</v>
      </c>
      <c r="F207" s="190">
        <f>SUM(F204:F206)</f>
        <v>8118.6515799999997</v>
      </c>
      <c r="G207" s="190">
        <f>D207-F207</f>
        <v>38299.348420000002</v>
      </c>
      <c r="H207" s="190">
        <f>SUM(H204:H206)</f>
        <v>4419.9562099999994</v>
      </c>
      <c r="I207" s="244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2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4"/>
    </row>
    <row r="243" spans="1:10" ht="21.75" customHeight="1" x14ac:dyDescent="0.35">
      <c r="A243" s="150"/>
      <c r="B243" s="1"/>
      <c r="C243" s="211" t="s">
        <v>121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1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2"/>
      <c r="D245" s="233"/>
      <c r="E245" s="233"/>
      <c r="F245" s="233"/>
      <c r="G245" s="233"/>
      <c r="H245" s="154"/>
      <c r="I245" s="154"/>
      <c r="J245" s="162"/>
    </row>
    <row r="246" spans="1:10" ht="23.25" customHeight="1" x14ac:dyDescent="0.25">
      <c r="A246" s="1"/>
      <c r="B246" s="250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0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0"/>
      <c r="C248" s="68" t="s">
        <v>16</v>
      </c>
      <c r="D248" s="79" t="s">
        <v>2</v>
      </c>
      <c r="E248" s="68" t="s">
        <v>143</v>
      </c>
      <c r="F248" s="68" t="s">
        <v>144</v>
      </c>
      <c r="G248" s="68" t="s">
        <v>145</v>
      </c>
      <c r="H248" s="68" t="s">
        <v>146</v>
      </c>
      <c r="I248" s="1"/>
      <c r="J248" s="120"/>
    </row>
    <row r="249" spans="1:10" ht="15" customHeight="1" x14ac:dyDescent="0.25">
      <c r="A249" s="1"/>
      <c r="B249" s="250"/>
      <c r="C249" s="90" t="s">
        <v>128</v>
      </c>
      <c r="D249" s="124">
        <v>3987</v>
      </c>
      <c r="E249" s="75">
        <f>E250+E251</f>
        <v>19.833739999999999</v>
      </c>
      <c r="F249" s="75">
        <f>F250+F251</f>
        <v>317.31756000000001</v>
      </c>
      <c r="G249" s="75">
        <f>D249-F249</f>
        <v>3669.68244</v>
      </c>
      <c r="H249" s="75">
        <f>H250+H251</f>
        <v>179.70282</v>
      </c>
      <c r="I249" s="244"/>
      <c r="J249" s="120"/>
    </row>
    <row r="250" spans="1:10" ht="15" customHeight="1" x14ac:dyDescent="0.25">
      <c r="A250" s="1"/>
      <c r="B250" s="250"/>
      <c r="C250" s="177" t="s">
        <v>8</v>
      </c>
      <c r="D250" s="124"/>
      <c r="E250" s="75">
        <f>11.411</f>
        <v>11.411</v>
      </c>
      <c r="F250" s="75">
        <f>266.3569</f>
        <v>266.3569</v>
      </c>
      <c r="G250" s="75"/>
      <c r="H250" s="75">
        <f>80.1382</f>
        <v>80.138199999999998</v>
      </c>
      <c r="I250" s="244"/>
      <c r="J250" s="120"/>
    </row>
    <row r="251" spans="1:10" ht="15" customHeight="1" x14ac:dyDescent="0.25">
      <c r="A251" s="1"/>
      <c r="B251" s="250"/>
      <c r="C251" s="177" t="s">
        <v>67</v>
      </c>
      <c r="D251" s="124"/>
      <c r="E251" s="124">
        <f>8.42274</f>
        <v>8.4227399999999992</v>
      </c>
      <c r="F251" s="124">
        <f>50.96066</f>
        <v>50.960659999999997</v>
      </c>
      <c r="G251" s="168"/>
      <c r="H251" s="124">
        <f>99.56462</f>
        <v>99.564620000000005</v>
      </c>
      <c r="I251" s="244"/>
      <c r="J251" s="120"/>
    </row>
    <row r="252" spans="1:10" ht="15" customHeight="1" x14ac:dyDescent="0.25">
      <c r="A252" s="1"/>
      <c r="B252" s="250"/>
      <c r="C252" s="90" t="s">
        <v>129</v>
      </c>
      <c r="D252" s="124">
        <v>4613</v>
      </c>
      <c r="E252" s="75">
        <f>103.8688</f>
        <v>103.86879999999999</v>
      </c>
      <c r="F252" s="75">
        <f>454.60098</f>
        <v>454.60097999999999</v>
      </c>
      <c r="G252" s="75">
        <f>D252-F252</f>
        <v>4158.3990199999998</v>
      </c>
      <c r="H252" s="75">
        <f>497.50814</f>
        <v>497.50814000000003</v>
      </c>
      <c r="I252" s="244"/>
      <c r="J252" s="120"/>
    </row>
    <row r="253" spans="1:10" ht="16.5" customHeight="1" x14ac:dyDescent="0.25">
      <c r="A253" s="1"/>
      <c r="B253" s="250"/>
      <c r="C253" s="179" t="s">
        <v>87</v>
      </c>
      <c r="D253" s="190">
        <f>D252+D249</f>
        <v>8600</v>
      </c>
      <c r="E253" s="190">
        <f>SUM(E249:E252)</f>
        <v>143.53627999999998</v>
      </c>
      <c r="F253" s="190">
        <f>SUM(F249:F252)</f>
        <v>1089.2360999999999</v>
      </c>
      <c r="G253" s="190">
        <f>D253-F253</f>
        <v>7510.7638999999999</v>
      </c>
      <c r="H253" s="190">
        <f>SUM(H249:H252)</f>
        <v>856.91378000000009</v>
      </c>
      <c r="I253" s="244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2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4"/>
    </row>
    <row r="289" spans="1:10" ht="21.75" customHeight="1" x14ac:dyDescent="0.35">
      <c r="A289" s="150"/>
      <c r="B289" s="1"/>
      <c r="C289" s="211" t="s">
        <v>122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1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2"/>
      <c r="D291" s="233"/>
      <c r="E291" s="233"/>
      <c r="F291" s="233"/>
      <c r="G291" s="233"/>
      <c r="H291" s="154"/>
      <c r="I291" s="154"/>
      <c r="J291" s="162"/>
    </row>
    <row r="292" spans="1:10" ht="23.25" customHeight="1" x14ac:dyDescent="0.25">
      <c r="A292" s="1"/>
      <c r="B292" s="250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0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0"/>
      <c r="C294" s="68" t="s">
        <v>16</v>
      </c>
      <c r="D294" s="79" t="s">
        <v>2</v>
      </c>
      <c r="E294" s="68" t="s">
        <v>143</v>
      </c>
      <c r="F294" s="68" t="s">
        <v>144</v>
      </c>
      <c r="G294" s="68" t="s">
        <v>145</v>
      </c>
      <c r="H294" s="68" t="s">
        <v>146</v>
      </c>
      <c r="I294" s="1"/>
      <c r="J294" s="120"/>
    </row>
    <row r="295" spans="1:10" ht="15" customHeight="1" x14ac:dyDescent="0.25">
      <c r="A295" s="1"/>
      <c r="B295" s="250"/>
      <c r="C295" s="90" t="s">
        <v>128</v>
      </c>
      <c r="D295" s="124">
        <v>5090</v>
      </c>
      <c r="E295" s="75">
        <f>E296+E297</f>
        <v>3.0211600000000001</v>
      </c>
      <c r="F295" s="75">
        <f>F296+F297</f>
        <v>247.56799000000001</v>
      </c>
      <c r="G295" s="75">
        <f>D295-F295</f>
        <v>4842.4320100000004</v>
      </c>
      <c r="H295" s="75">
        <f>H296+H297</f>
        <v>178.98715999999999</v>
      </c>
      <c r="I295" s="244"/>
      <c r="J295" s="120"/>
    </row>
    <row r="296" spans="1:10" ht="15" customHeight="1" x14ac:dyDescent="0.25">
      <c r="A296" s="1"/>
      <c r="B296" s="250"/>
      <c r="C296" s="177" t="s">
        <v>8</v>
      </c>
      <c r="D296" s="124"/>
      <c r="E296" s="75">
        <f>0.8252</f>
        <v>0.82520000000000004</v>
      </c>
      <c r="F296" s="75">
        <f>220.70115</f>
        <v>220.70115000000001</v>
      </c>
      <c r="G296" s="75"/>
      <c r="H296" s="75">
        <f>128.91331</f>
        <v>128.91331</v>
      </c>
      <c r="I296" s="244"/>
      <c r="J296" s="120"/>
    </row>
    <row r="297" spans="1:10" ht="15" customHeight="1" x14ac:dyDescent="0.25">
      <c r="A297" s="1"/>
      <c r="B297" s="250"/>
      <c r="C297" s="177" t="s">
        <v>67</v>
      </c>
      <c r="D297" s="124"/>
      <c r="E297" s="124">
        <f>2.19596</f>
        <v>2.1959599999999999</v>
      </c>
      <c r="F297" s="124">
        <f>26.86684</f>
        <v>26.86684</v>
      </c>
      <c r="G297" s="168"/>
      <c r="H297" s="124">
        <f>50.07385</f>
        <v>50.07385</v>
      </c>
      <c r="I297" s="244"/>
      <c r="J297" s="120"/>
    </row>
    <row r="298" spans="1:10" ht="15" customHeight="1" x14ac:dyDescent="0.25">
      <c r="A298" s="1"/>
      <c r="B298" s="250"/>
      <c r="C298" s="90" t="s">
        <v>129</v>
      </c>
      <c r="D298" s="124">
        <v>2981</v>
      </c>
      <c r="E298" s="75">
        <f>59.40114</f>
        <v>59.401139999999998</v>
      </c>
      <c r="F298" s="75">
        <f>377.25288</f>
        <v>377.25288</v>
      </c>
      <c r="G298" s="75">
        <f>D298-F298</f>
        <v>2603.74712</v>
      </c>
      <c r="H298" s="75">
        <f>436.57022</f>
        <v>436.57022000000001</v>
      </c>
      <c r="I298" s="244"/>
      <c r="J298" s="120"/>
    </row>
    <row r="299" spans="1:10" ht="16.5" customHeight="1" x14ac:dyDescent="0.25">
      <c r="A299" s="1"/>
      <c r="B299" s="250"/>
      <c r="C299" s="179" t="s">
        <v>87</v>
      </c>
      <c r="D299" s="190">
        <f>D298+D295</f>
        <v>8071</v>
      </c>
      <c r="E299" s="190">
        <f>SUM(E295:E298)</f>
        <v>65.443460000000002</v>
      </c>
      <c r="F299" s="190">
        <f>SUM(F295:F298)</f>
        <v>872.38886000000002</v>
      </c>
      <c r="G299" s="190">
        <f>D299-F299</f>
        <v>7198.61114</v>
      </c>
      <c r="H299" s="190">
        <f>SUM(H295:H298)</f>
        <v>794.54453999999998</v>
      </c>
      <c r="I299" s="244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2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4"/>
    </row>
    <row r="335" spans="1:10" ht="30" customHeight="1" x14ac:dyDescent="0.25">
      <c r="A335" s="214"/>
      <c r="B335" s="214"/>
      <c r="C335" s="215" t="s">
        <v>89</v>
      </c>
      <c r="D335" s="214"/>
      <c r="E335" s="214"/>
      <c r="F335" s="214"/>
      <c r="G335" s="214"/>
      <c r="H335" s="214"/>
      <c r="I335" s="214"/>
      <c r="J335" s="220"/>
    </row>
    <row r="336" spans="1:10" ht="30" customHeight="1" x14ac:dyDescent="0.25">
      <c r="A336" s="214" t="s">
        <v>116</v>
      </c>
      <c r="B336" s="214"/>
      <c r="C336" s="215"/>
      <c r="D336" s="214"/>
      <c r="E336" s="214"/>
      <c r="F336" s="214"/>
      <c r="G336" s="214"/>
      <c r="H336" s="214"/>
      <c r="I336" s="214"/>
      <c r="J336" s="220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0"/>
      <c r="C339" s="255" t="s">
        <v>84</v>
      </c>
      <c r="D339" s="266">
        <v>3851</v>
      </c>
      <c r="E339" s="150"/>
      <c r="F339" s="221"/>
      <c r="G339" s="1"/>
      <c r="H339" s="1"/>
      <c r="I339" s="1"/>
      <c r="J339" s="120"/>
    </row>
    <row r="340" spans="1:10" ht="14.1" customHeight="1" x14ac:dyDescent="0.25">
      <c r="A340" s="1"/>
      <c r="B340" s="250"/>
      <c r="C340" s="244" t="s">
        <v>90</v>
      </c>
      <c r="D340" s="46">
        <v>11613</v>
      </c>
      <c r="E340" s="150"/>
      <c r="F340" s="221"/>
      <c r="G340" s="1"/>
      <c r="H340" s="1"/>
      <c r="I340" s="1"/>
      <c r="J340" s="120"/>
    </row>
    <row r="341" spans="1:10" ht="14.1" customHeight="1" x14ac:dyDescent="0.25">
      <c r="A341" s="1"/>
      <c r="B341" s="250"/>
      <c r="C341" s="244" t="s">
        <v>91</v>
      </c>
      <c r="D341" s="46">
        <v>9054</v>
      </c>
      <c r="E341" s="150"/>
      <c r="F341" s="221"/>
      <c r="G341" s="1"/>
      <c r="H341" s="1"/>
      <c r="I341" s="1"/>
      <c r="J341" s="120"/>
    </row>
    <row r="342" spans="1:10" ht="13.5" customHeight="1" x14ac:dyDescent="0.25">
      <c r="A342" s="1"/>
      <c r="B342" s="250"/>
      <c r="C342" s="244" t="s">
        <v>131</v>
      </c>
      <c r="D342" s="46">
        <v>382</v>
      </c>
      <c r="E342" s="150"/>
      <c r="F342" s="221"/>
      <c r="G342" s="1"/>
      <c r="H342" s="1"/>
      <c r="I342" s="1"/>
      <c r="J342" s="120"/>
    </row>
    <row r="343" spans="1:10" ht="14.25" customHeight="1" x14ac:dyDescent="0.25">
      <c r="A343" s="1"/>
      <c r="B343" s="250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0"/>
      <c r="C344" s="224" t="s">
        <v>92</v>
      </c>
      <c r="D344" s="225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0"/>
      <c r="C345" s="101" t="s">
        <v>102</v>
      </c>
      <c r="D345" s="226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0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27"/>
      <c r="C347" s="230" t="s">
        <v>15</v>
      </c>
      <c r="D347" s="230"/>
      <c r="E347" s="230"/>
      <c r="F347" s="230"/>
      <c r="G347" s="230"/>
      <c r="H347" s="230"/>
      <c r="I347" s="230"/>
      <c r="J347" s="234"/>
    </row>
    <row r="348" spans="1:10" ht="14.1" customHeight="1" x14ac:dyDescent="0.25">
      <c r="A348" s="1"/>
      <c r="B348" s="236"/>
      <c r="C348" s="238"/>
      <c r="D348" s="238"/>
      <c r="E348" s="238"/>
      <c r="F348" s="238"/>
      <c r="G348" s="238"/>
      <c r="H348" s="238"/>
      <c r="I348" s="238"/>
      <c r="J348" s="120"/>
    </row>
    <row r="349" spans="1:10" ht="54" customHeight="1" x14ac:dyDescent="0.25">
      <c r="A349" s="1"/>
      <c r="B349" s="250"/>
      <c r="C349" s="68" t="s">
        <v>16</v>
      </c>
      <c r="D349" s="239" t="s">
        <v>2</v>
      </c>
      <c r="E349" s="68" t="s">
        <v>143</v>
      </c>
      <c r="F349" s="68" t="s">
        <v>144</v>
      </c>
      <c r="G349" s="68" t="s">
        <v>145</v>
      </c>
      <c r="H349" s="68" t="s">
        <v>146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3.88043</f>
        <v>3.88043</v>
      </c>
      <c r="F350" s="124">
        <f>47.7272</f>
        <v>47.727200000000003</v>
      </c>
      <c r="G350" s="124">
        <f>D350-F350</f>
        <v>752.27279999999996</v>
      </c>
      <c r="H350" s="124">
        <f>45.37563</f>
        <v>45.375630000000001</v>
      </c>
      <c r="I350" s="67"/>
      <c r="J350" s="240"/>
    </row>
    <row r="351" spans="1:10" ht="14.1" customHeight="1" x14ac:dyDescent="0.25">
      <c r="A351" s="1"/>
      <c r="B351" s="250"/>
      <c r="C351" s="90" t="s">
        <v>94</v>
      </c>
      <c r="D351" s="242">
        <v>3041</v>
      </c>
      <c r="E351" s="124">
        <f>4.98878</f>
        <v>4.9887800000000002</v>
      </c>
      <c r="F351" s="124">
        <f>154.66228</f>
        <v>154.66228000000001</v>
      </c>
      <c r="G351" s="124">
        <f>D351-F351</f>
        <v>2886.33772</v>
      </c>
      <c r="H351" s="124">
        <f>239.27719</f>
        <v>239.27718999999999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2">
        <v>10</v>
      </c>
      <c r="E352" s="168">
        <f>0.31506</f>
        <v>0.31506000000000001</v>
      </c>
      <c r="F352" s="168">
        <f>0.31506</f>
        <v>0.31506000000000001</v>
      </c>
      <c r="G352" s="124">
        <f>D352-F352</f>
        <v>9.6849399999999992</v>
      </c>
      <c r="H352" s="168">
        <f>0.03304</f>
        <v>3.304E-2</v>
      </c>
      <c r="I352" s="67"/>
      <c r="J352" s="245"/>
    </row>
    <row r="353" spans="1:10" ht="18.75" customHeight="1" x14ac:dyDescent="0.25">
      <c r="A353" s="67"/>
      <c r="B353" s="246"/>
      <c r="C353" s="146" t="s">
        <v>95</v>
      </c>
      <c r="D353" s="218"/>
      <c r="E353" s="168">
        <f>0</f>
        <v>0</v>
      </c>
      <c r="F353" s="168">
        <f>0</f>
        <v>0</v>
      </c>
      <c r="G353" s="124">
        <f>D353-F353</f>
        <v>0</v>
      </c>
      <c r="H353" s="168">
        <f>0</f>
        <v>0</v>
      </c>
      <c r="I353" s="280"/>
      <c r="J353" s="120"/>
    </row>
    <row r="354" spans="1:10" ht="14.1" customHeight="1" x14ac:dyDescent="0.25">
      <c r="A354" s="1"/>
      <c r="B354" s="250"/>
      <c r="C354" s="179" t="s">
        <v>87</v>
      </c>
      <c r="D354" s="6">
        <f>D339</f>
        <v>3851</v>
      </c>
      <c r="E354" s="190">
        <f>SUM(E350:E353)</f>
        <v>9.1842700000000015</v>
      </c>
      <c r="F354" s="190">
        <f>SUM(F350:F353)</f>
        <v>202.70454000000001</v>
      </c>
      <c r="G354" s="190">
        <f>D354-F354</f>
        <v>3648.2954599999998</v>
      </c>
      <c r="H354" s="190">
        <f>H350+H351+H352+H353</f>
        <v>284.68586000000005</v>
      </c>
      <c r="I354" s="1"/>
      <c r="J354" s="120"/>
    </row>
    <row r="355" spans="1:10" ht="14.1" customHeight="1" x14ac:dyDescent="0.25">
      <c r="A355" s="1"/>
      <c r="B355" s="250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4"/>
      <c r="B364" s="1"/>
      <c r="C364" s="211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5"/>
      <c r="D365" s="235"/>
      <c r="E365" s="235"/>
      <c r="F365" s="235"/>
      <c r="G365" s="235"/>
      <c r="H365" s="235"/>
      <c r="I365" s="235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5" t="s">
        <v>84</v>
      </c>
      <c r="D368" s="266">
        <v>27365</v>
      </c>
      <c r="E368" s="248" t="s">
        <v>4</v>
      </c>
      <c r="F368" s="103">
        <v>13865</v>
      </c>
      <c r="G368" s="244" t="s">
        <v>20</v>
      </c>
      <c r="H368" s="46">
        <v>6472</v>
      </c>
      <c r="I368" s="150"/>
      <c r="J368" s="130"/>
    </row>
    <row r="369" spans="1:10" ht="14.25" customHeight="1" x14ac:dyDescent="0.25">
      <c r="B369" s="72"/>
      <c r="C369" s="244" t="s">
        <v>91</v>
      </c>
      <c r="D369" s="46">
        <v>19433</v>
      </c>
      <c r="E369" s="178" t="s">
        <v>94</v>
      </c>
      <c r="F369" s="47">
        <v>8000</v>
      </c>
      <c r="G369" s="244" t="s">
        <v>21</v>
      </c>
      <c r="H369" s="46">
        <v>1684</v>
      </c>
      <c r="I369" s="150"/>
      <c r="J369" s="130"/>
    </row>
    <row r="370" spans="1:10" ht="14.25" customHeight="1" x14ac:dyDescent="0.25">
      <c r="B370" s="72"/>
      <c r="C370" s="244" t="s">
        <v>90</v>
      </c>
      <c r="D370" s="46">
        <v>6186</v>
      </c>
      <c r="E370" s="178" t="s">
        <v>59</v>
      </c>
      <c r="F370" s="47">
        <v>5500</v>
      </c>
      <c r="G370" s="244" t="s">
        <v>99</v>
      </c>
      <c r="H370" s="46">
        <v>4296</v>
      </c>
      <c r="I370" s="150"/>
      <c r="J370" s="130"/>
    </row>
    <row r="371" spans="1:10" ht="14.1" customHeight="1" x14ac:dyDescent="0.25">
      <c r="B371" s="72"/>
      <c r="C371" s="244"/>
      <c r="D371" s="46"/>
      <c r="E371" s="131"/>
      <c r="F371" s="144"/>
      <c r="G371" s="244" t="s">
        <v>100</v>
      </c>
      <c r="H371" s="46">
        <v>1313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53374</v>
      </c>
      <c r="E372" s="173" t="s">
        <v>101</v>
      </c>
      <c r="F372" s="35">
        <f>F368+F369+F370</f>
        <v>27365</v>
      </c>
      <c r="G372" s="57" t="s">
        <v>4</v>
      </c>
      <c r="H372" s="35">
        <f>SUM(H368:H371)</f>
        <v>13765</v>
      </c>
      <c r="I372" s="150"/>
      <c r="J372" s="130"/>
    </row>
    <row r="373" spans="1:10" ht="13.35" customHeight="1" x14ac:dyDescent="0.25">
      <c r="B373" s="72"/>
      <c r="C373" s="101" t="s">
        <v>117</v>
      </c>
      <c r="D373" s="178"/>
      <c r="E373" s="178"/>
      <c r="F373" s="178"/>
      <c r="G373" s="1"/>
      <c r="H373" s="178"/>
      <c r="I373" s="178"/>
      <c r="J373" s="240"/>
    </row>
    <row r="374" spans="1:10" ht="13.35" customHeight="1" x14ac:dyDescent="0.25">
      <c r="B374" s="72"/>
      <c r="C374" s="101" t="s">
        <v>102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27"/>
      <c r="C377" s="230" t="s">
        <v>15</v>
      </c>
      <c r="D377" s="230"/>
      <c r="E377" s="230"/>
      <c r="F377" s="230"/>
      <c r="G377" s="230"/>
      <c r="H377" s="230"/>
      <c r="I377" s="230"/>
      <c r="J377" s="234"/>
    </row>
    <row r="378" spans="1:10" ht="18.75" customHeight="1" x14ac:dyDescent="0.25">
      <c r="B378" s="198"/>
      <c r="C378" s="220"/>
      <c r="D378" s="220"/>
      <c r="E378" s="220"/>
      <c r="F378" s="220"/>
      <c r="G378" s="220"/>
      <c r="H378" s="220"/>
      <c r="I378" s="220"/>
      <c r="J378" s="13"/>
    </row>
    <row r="379" spans="1:10" ht="64.5" customHeight="1" x14ac:dyDescent="0.25">
      <c r="B379" s="72"/>
      <c r="C379" s="219" t="s">
        <v>16</v>
      </c>
      <c r="D379" s="228" t="s">
        <v>17</v>
      </c>
      <c r="E379" s="68" t="s">
        <v>103</v>
      </c>
      <c r="F379" s="219" t="s">
        <v>143</v>
      </c>
      <c r="G379" s="219" t="s">
        <v>144</v>
      </c>
      <c r="H379" s="219" t="s">
        <v>145</v>
      </c>
      <c r="I379" s="219" t="s">
        <v>146</v>
      </c>
      <c r="J379" s="130"/>
    </row>
    <row r="380" spans="1:10" ht="14.1" customHeight="1" x14ac:dyDescent="0.25">
      <c r="A380" s="214"/>
      <c r="B380" s="72"/>
      <c r="C380" s="243" t="s">
        <v>19</v>
      </c>
      <c r="D380" s="247">
        <f t="shared" ref="D380:I380" si="17">D384+D383+D382+D381</f>
        <v>21508</v>
      </c>
      <c r="E380" s="247">
        <f t="shared" si="17"/>
        <v>21508</v>
      </c>
      <c r="F380" s="249">
        <f t="shared" si="17"/>
        <v>28.132680000000001</v>
      </c>
      <c r="G380" s="249">
        <f t="shared" si="17"/>
        <v>455.24678000000006</v>
      </c>
      <c r="H380" s="249">
        <f>H384+H383+H382+H381</f>
        <v>21052.753219999999</v>
      </c>
      <c r="I380" s="249">
        <f t="shared" si="17"/>
        <v>1131.0340099999999</v>
      </c>
      <c r="J380" s="130"/>
    </row>
    <row r="381" spans="1:10" ht="14.1" customHeight="1" x14ac:dyDescent="0.25">
      <c r="A381" s="214"/>
      <c r="B381" s="72"/>
      <c r="C381" s="251" t="s">
        <v>104</v>
      </c>
      <c r="D381" s="252">
        <v>12051</v>
      </c>
      <c r="E381" s="252">
        <v>12051</v>
      </c>
      <c r="F381" s="253">
        <f>0</f>
        <v>0</v>
      </c>
      <c r="G381" s="253">
        <f>182.72966</f>
        <v>182.72966</v>
      </c>
      <c r="H381" s="253">
        <f t="shared" ref="H381:H385" si="18">E381-G381</f>
        <v>11868.270339999999</v>
      </c>
      <c r="I381" s="253">
        <f>884.0745</f>
        <v>884.07449999999994</v>
      </c>
      <c r="J381" s="130"/>
    </row>
    <row r="382" spans="1:10" ht="14.1" customHeight="1" x14ac:dyDescent="0.25">
      <c r="A382" s="214"/>
      <c r="B382" s="72"/>
      <c r="C382" s="256" t="s">
        <v>21</v>
      </c>
      <c r="D382" s="252">
        <v>3136</v>
      </c>
      <c r="E382" s="252">
        <v>3136</v>
      </c>
      <c r="F382" s="253">
        <f>0</f>
        <v>0</v>
      </c>
      <c r="G382" s="253">
        <f>0</f>
        <v>0</v>
      </c>
      <c r="H382" s="253">
        <f t="shared" si="18"/>
        <v>3136</v>
      </c>
      <c r="I382" s="253">
        <f>0</f>
        <v>0</v>
      </c>
      <c r="J382" s="130"/>
    </row>
    <row r="383" spans="1:10" ht="14.1" customHeight="1" x14ac:dyDescent="0.25">
      <c r="A383" s="214"/>
      <c r="B383" s="72"/>
      <c r="C383" s="256" t="s">
        <v>100</v>
      </c>
      <c r="D383" s="252">
        <v>1454</v>
      </c>
      <c r="E383" s="252">
        <v>1454</v>
      </c>
      <c r="F383" s="253">
        <f>28.13268</f>
        <v>28.132680000000001</v>
      </c>
      <c r="G383" s="253">
        <f>258.93932</f>
        <v>258.93932000000001</v>
      </c>
      <c r="H383" s="253">
        <f t="shared" si="18"/>
        <v>1195.06068</v>
      </c>
      <c r="I383" s="253">
        <f>228.70371</f>
        <v>228.70371</v>
      </c>
      <c r="J383" s="130"/>
    </row>
    <row r="384" spans="1:10" ht="14.1" customHeight="1" x14ac:dyDescent="0.25">
      <c r="A384" s="214"/>
      <c r="B384" s="72"/>
      <c r="C384" s="258" t="s">
        <v>105</v>
      </c>
      <c r="D384" s="259">
        <v>4867</v>
      </c>
      <c r="E384" s="259">
        <v>4867</v>
      </c>
      <c r="F384" s="253">
        <f>0</f>
        <v>0</v>
      </c>
      <c r="G384" s="253">
        <f>13.5778</f>
        <v>13.5778</v>
      </c>
      <c r="H384" s="253">
        <f t="shared" si="18"/>
        <v>4853.4222</v>
      </c>
      <c r="I384" s="253">
        <f>18.2558</f>
        <v>18.255800000000001</v>
      </c>
      <c r="J384" s="130"/>
    </row>
    <row r="385" spans="1:10" ht="14.1" customHeight="1" x14ac:dyDescent="0.25">
      <c r="A385" s="214"/>
      <c r="B385" s="72"/>
      <c r="C385" s="261" t="s">
        <v>59</v>
      </c>
      <c r="D385" s="262">
        <v>5500</v>
      </c>
      <c r="E385" s="262">
        <v>5500</v>
      </c>
      <c r="F385" s="264">
        <f>0</f>
        <v>0</v>
      </c>
      <c r="G385" s="264">
        <f>0.543</f>
        <v>0.54300000000000004</v>
      </c>
      <c r="H385" s="264">
        <f t="shared" si="18"/>
        <v>5499.4570000000003</v>
      </c>
      <c r="I385" s="264">
        <f>17.834</f>
        <v>17.834</v>
      </c>
      <c r="J385" s="130"/>
    </row>
    <row r="386" spans="1:10" ht="14.1" customHeight="1" x14ac:dyDescent="0.25">
      <c r="A386" s="214"/>
      <c r="B386" s="72"/>
      <c r="C386" s="243" t="s">
        <v>22</v>
      </c>
      <c r="D386" s="247">
        <v>8000</v>
      </c>
      <c r="E386" s="247">
        <v>8000</v>
      </c>
      <c r="F386" s="265">
        <f>F388+F387</f>
        <v>44.599409999999999</v>
      </c>
      <c r="G386" s="265">
        <f>G388+G387</f>
        <v>293.61565999999999</v>
      </c>
      <c r="H386" s="265">
        <f>E386-G386</f>
        <v>7706.3843399999996</v>
      </c>
      <c r="I386" s="265">
        <f>I388+I387</f>
        <v>545.46659999999997</v>
      </c>
      <c r="J386" s="130"/>
    </row>
    <row r="387" spans="1:10" ht="14.1" customHeight="1" x14ac:dyDescent="0.25">
      <c r="A387" s="214"/>
      <c r="B387" s="72"/>
      <c r="C387" s="256" t="s">
        <v>53</v>
      </c>
      <c r="D387" s="267"/>
      <c r="E387" s="252"/>
      <c r="F387" s="253">
        <f>0</f>
        <v>0</v>
      </c>
      <c r="G387" s="253">
        <f>0</f>
        <v>0</v>
      </c>
      <c r="H387" s="253"/>
      <c r="I387" s="253">
        <f>125.06265</f>
        <v>125.06265</v>
      </c>
      <c r="J387" s="130"/>
    </row>
    <row r="388" spans="1:10" ht="14.1" customHeight="1" x14ac:dyDescent="0.25">
      <c r="A388" s="214"/>
      <c r="B388" s="72"/>
      <c r="C388" s="269" t="s">
        <v>106</v>
      </c>
      <c r="D388" s="270"/>
      <c r="E388" s="273"/>
      <c r="F388" s="274">
        <f>44.59941</f>
        <v>44.599409999999999</v>
      </c>
      <c r="G388" s="274">
        <f>293.61566</f>
        <v>293.61565999999999</v>
      </c>
      <c r="H388" s="274"/>
      <c r="I388" s="274">
        <f>420.40395</f>
        <v>420.40395000000001</v>
      </c>
      <c r="J388" s="130"/>
    </row>
    <row r="389" spans="1:10" ht="14.1" customHeight="1" x14ac:dyDescent="0.25">
      <c r="A389" s="214"/>
      <c r="B389" s="72"/>
      <c r="C389" s="261" t="s">
        <v>34</v>
      </c>
      <c r="D389" s="262">
        <v>13</v>
      </c>
      <c r="E389" s="262">
        <v>13</v>
      </c>
      <c r="F389" s="264">
        <f>0.018</f>
        <v>1.7999999999999999E-2</v>
      </c>
      <c r="G389" s="264">
        <f>0.018</f>
        <v>1.7999999999999999E-2</v>
      </c>
      <c r="H389" s="264">
        <f>E389-G389</f>
        <v>12.981999999999999</v>
      </c>
      <c r="I389" s="264">
        <f>0</f>
        <v>0</v>
      </c>
      <c r="J389" s="130"/>
    </row>
    <row r="390" spans="1:10" ht="14.1" customHeight="1" x14ac:dyDescent="0.25">
      <c r="A390" s="214"/>
      <c r="B390" s="72"/>
      <c r="C390" s="275" t="s">
        <v>107</v>
      </c>
      <c r="D390" s="278"/>
      <c r="E390" s="279"/>
      <c r="F390" s="264">
        <f>0.03216</f>
        <v>3.2160000000000001E-2</v>
      </c>
      <c r="G390" s="264">
        <f>2.32712</f>
        <v>2.3271199999999999</v>
      </c>
      <c r="H390" s="264">
        <f>E390-G390</f>
        <v>-2.3271199999999999</v>
      </c>
      <c r="I390" s="264">
        <f>0.9424</f>
        <v>0.94240000000000002</v>
      </c>
      <c r="J390" s="130"/>
    </row>
    <row r="391" spans="1:10" ht="19.5" customHeight="1" x14ac:dyDescent="0.25">
      <c r="A391" s="214"/>
      <c r="B391" s="72"/>
      <c r="C391" s="281" t="s">
        <v>40</v>
      </c>
      <c r="D391" s="282">
        <f>D380+D385+D386+D389+D390</f>
        <v>35021</v>
      </c>
      <c r="E391" s="282">
        <f>E380+E385+E386+E389+E390</f>
        <v>35021</v>
      </c>
      <c r="F391" s="283">
        <f t="shared" ref="F391:I391" si="19">F380+F385+F386+F389+F390</f>
        <v>72.782250000000005</v>
      </c>
      <c r="G391" s="283">
        <f t="shared" si="19"/>
        <v>751.75056000000006</v>
      </c>
      <c r="H391" s="283">
        <f>H380+H385+H386+H389+H390</f>
        <v>34269.24944</v>
      </c>
      <c r="I391" s="283">
        <f t="shared" si="19"/>
        <v>1695.2770099999998</v>
      </c>
      <c r="J391" s="130"/>
    </row>
    <row r="392" spans="1:10" ht="14.1" customHeight="1" x14ac:dyDescent="0.25">
      <c r="A392" s="214"/>
      <c r="B392" s="72"/>
      <c r="C392" s="161" t="s">
        <v>108</v>
      </c>
      <c r="D392" s="285"/>
      <c r="E392" s="285"/>
      <c r="F392" s="4"/>
      <c r="G392" s="4"/>
      <c r="H392" s="5"/>
      <c r="I392" s="5"/>
      <c r="J392" s="130"/>
    </row>
    <row r="393" spans="1:10" ht="14.1" customHeight="1" x14ac:dyDescent="0.25">
      <c r="A393" s="214"/>
      <c r="B393" s="72"/>
      <c r="C393" s="101" t="s">
        <v>142</v>
      </c>
      <c r="D393" s="285"/>
      <c r="E393" s="285"/>
      <c r="F393" s="4"/>
      <c r="G393" s="4"/>
      <c r="H393" s="7"/>
      <c r="I393" s="5"/>
      <c r="J393" s="130"/>
    </row>
    <row r="394" spans="1:10" ht="14.1" customHeight="1" x14ac:dyDescent="0.25">
      <c r="A394" s="214"/>
      <c r="B394" s="72"/>
      <c r="C394" s="101" t="s">
        <v>141</v>
      </c>
      <c r="D394" s="285"/>
      <c r="E394" s="285"/>
      <c r="F394" s="4"/>
      <c r="G394" s="4"/>
      <c r="H394" s="5"/>
      <c r="I394" s="7"/>
      <c r="J394" s="130"/>
    </row>
    <row r="395" spans="1:10" ht="15.75" customHeight="1" x14ac:dyDescent="0.25">
      <c r="A395" s="214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4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4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4"/>
      <c r="C398" s="150" t="s">
        <v>116</v>
      </c>
      <c r="D398" s="156"/>
    </row>
    <row r="399" spans="1:10" ht="14.1" customHeight="1" x14ac:dyDescent="0.25">
      <c r="A399" s="214"/>
      <c r="B399" s="123"/>
      <c r="C399" s="235"/>
      <c r="D399" s="17"/>
      <c r="E399" s="235"/>
      <c r="F399" s="235"/>
      <c r="G399" s="235"/>
      <c r="H399" s="235"/>
      <c r="I399" s="235"/>
      <c r="J399" s="60"/>
    </row>
    <row r="400" spans="1:10" ht="14.1" customHeight="1" x14ac:dyDescent="0.25">
      <c r="A400" s="214"/>
      <c r="B400" s="72"/>
      <c r="C400" s="215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4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4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4"/>
      <c r="B403" s="72"/>
      <c r="C403" s="255" t="s">
        <v>6</v>
      </c>
      <c r="D403" s="266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4"/>
      <c r="B404" s="72"/>
      <c r="C404" s="244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4"/>
      <c r="B405" s="72"/>
      <c r="C405" s="244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4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4"/>
      <c r="B407" s="72"/>
      <c r="C407" s="296" t="s">
        <v>123</v>
      </c>
      <c r="D407" s="296"/>
      <c r="E407" s="296"/>
      <c r="F407" s="296"/>
      <c r="G407" s="296"/>
      <c r="H407" s="296"/>
      <c r="I407" s="150"/>
      <c r="J407" s="130"/>
    </row>
    <row r="408" spans="1:10" ht="14.1" customHeight="1" x14ac:dyDescent="0.25">
      <c r="A408" s="214"/>
      <c r="B408" s="72"/>
      <c r="C408" s="296"/>
      <c r="D408" s="296"/>
      <c r="E408" s="296"/>
      <c r="F408" s="296"/>
      <c r="G408" s="296"/>
      <c r="H408" s="296"/>
      <c r="I408" s="150"/>
      <c r="J408" s="130"/>
    </row>
    <row r="409" spans="1:10" ht="14.1" customHeight="1" x14ac:dyDescent="0.25">
      <c r="A409" s="214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4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4"/>
      <c r="B411" s="227"/>
      <c r="C411" s="230" t="s">
        <v>15</v>
      </c>
      <c r="D411" s="230"/>
      <c r="E411" s="230"/>
      <c r="F411" s="230"/>
      <c r="G411" s="230"/>
      <c r="H411" s="230"/>
      <c r="I411" s="230"/>
      <c r="J411" s="234"/>
    </row>
    <row r="412" spans="1:10" ht="78" customHeight="1" x14ac:dyDescent="0.25">
      <c r="A412" s="214"/>
      <c r="B412" s="198"/>
      <c r="C412" s="20" t="s">
        <v>111</v>
      </c>
      <c r="D412" s="22" t="s">
        <v>112</v>
      </c>
      <c r="E412" s="20" t="s">
        <v>143</v>
      </c>
      <c r="F412" s="20" t="s">
        <v>144</v>
      </c>
      <c r="G412" s="25" t="s">
        <v>145</v>
      </c>
      <c r="H412" s="20" t="s">
        <v>146</v>
      </c>
      <c r="I412" s="220"/>
      <c r="J412" s="13"/>
    </row>
    <row r="413" spans="1:10" ht="14.1" customHeight="1" x14ac:dyDescent="0.25">
      <c r="A413" s="214"/>
      <c r="B413" s="72"/>
      <c r="C413" s="261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4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4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4"/>
      <c r="B416" s="72"/>
      <c r="C416" s="261" t="s">
        <v>114</v>
      </c>
      <c r="D416" s="10">
        <v>1060</v>
      </c>
      <c r="E416" s="26">
        <f>SUM(E417:E418)</f>
        <v>94.126350000000002</v>
      </c>
      <c r="F416" s="26">
        <f>SUM(F417:F418)</f>
        <v>910.67398000000003</v>
      </c>
      <c r="G416" s="85">
        <f>D416-F416</f>
        <v>149.32601999999997</v>
      </c>
      <c r="H416" s="26">
        <f>SUM(H417:H418)</f>
        <v>1523.82302</v>
      </c>
      <c r="I416" s="27"/>
      <c r="J416" s="130"/>
    </row>
    <row r="417" spans="1:10" ht="14.1" customHeight="1" x14ac:dyDescent="0.25">
      <c r="A417" s="214"/>
      <c r="B417" s="72"/>
      <c r="C417" s="29" t="s">
        <v>8</v>
      </c>
      <c r="D417" s="42"/>
      <c r="E417" s="30">
        <f>80.49385</f>
        <v>80.493849999999995</v>
      </c>
      <c r="F417" s="30">
        <f>723.11708</f>
        <v>723.11707999999999</v>
      </c>
      <c r="G417" s="97"/>
      <c r="H417" s="30">
        <f>1252.967</f>
        <v>1252.9670000000001</v>
      </c>
      <c r="I417" s="150"/>
      <c r="J417" s="130"/>
    </row>
    <row r="418" spans="1:10" ht="14.1" customHeight="1" x14ac:dyDescent="0.25">
      <c r="A418" s="214"/>
      <c r="B418" s="72"/>
      <c r="C418" s="29" t="s">
        <v>11</v>
      </c>
      <c r="D418" s="217"/>
      <c r="E418" s="30">
        <f>13.6325</f>
        <v>13.6325</v>
      </c>
      <c r="F418" s="30">
        <f>187.5569</f>
        <v>187.55690000000001</v>
      </c>
      <c r="G418" s="108"/>
      <c r="H418" s="30">
        <f>270.85602</f>
        <v>270.85602</v>
      </c>
      <c r="I418" s="150"/>
      <c r="J418" s="130"/>
    </row>
    <row r="419" spans="1:10" ht="14.1" customHeight="1" x14ac:dyDescent="0.25">
      <c r="A419" s="214"/>
      <c r="B419" s="72"/>
      <c r="C419" s="261" t="s">
        <v>115</v>
      </c>
      <c r="D419" s="10">
        <v>1235</v>
      </c>
      <c r="E419" s="36">
        <f>SUM(E420:E421)</f>
        <v>0</v>
      </c>
      <c r="F419" s="36">
        <f>SUM(F420:F421)</f>
        <v>0</v>
      </c>
      <c r="G419" s="85">
        <f>D419-F419</f>
        <v>1235</v>
      </c>
      <c r="H419" s="36">
        <f>SUM(H420:H421)</f>
        <v>0</v>
      </c>
      <c r="I419" s="150"/>
      <c r="J419" s="130"/>
    </row>
    <row r="420" spans="1:10" ht="14.1" customHeight="1" x14ac:dyDescent="0.25">
      <c r="A420" s="214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4"/>
      <c r="B421" s="72"/>
      <c r="C421" s="29" t="s">
        <v>11</v>
      </c>
      <c r="D421" s="217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4"/>
      <c r="B422" s="72"/>
      <c r="C422" s="275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4"/>
      <c r="B423" s="72"/>
      <c r="C423" s="281" t="s">
        <v>87</v>
      </c>
      <c r="D423" s="39"/>
      <c r="E423" s="40">
        <f>E413+E416+E419+E422</f>
        <v>94.126350000000002</v>
      </c>
      <c r="F423" s="40">
        <f>F413+F416+F419+F422</f>
        <v>1899.07521</v>
      </c>
      <c r="G423" s="41"/>
      <c r="H423" s="40">
        <f>H413+H416+H419+H422</f>
        <v>3362.11276</v>
      </c>
      <c r="I423" s="27"/>
      <c r="J423" s="130"/>
    </row>
    <row r="424" spans="1:10" ht="42" customHeight="1" x14ac:dyDescent="0.25">
      <c r="A424" s="214"/>
      <c r="B424" s="72"/>
      <c r="C424" s="297" t="s">
        <v>124</v>
      </c>
      <c r="D424" s="297"/>
      <c r="E424" s="297"/>
      <c r="F424" s="297"/>
      <c r="G424" s="297"/>
      <c r="H424" s="297"/>
      <c r="I424" s="297"/>
      <c r="J424" s="298"/>
    </row>
    <row r="425" spans="1:10" ht="14.1" customHeight="1" x14ac:dyDescent="0.25">
      <c r="A425" s="214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3">
    <mergeCell ref="C407:H408"/>
    <mergeCell ref="C424:J424"/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6&amp;R12.02.2024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2024-02-12T13:31:49Z</cp:lastPrinted>
  <dcterms:created xsi:type="dcterms:W3CDTF">2022-08-01T13:23:35Z</dcterms:created>
  <dcterms:modified xsi:type="dcterms:W3CDTF">2024-02-12T13:32:09Z</dcterms:modified>
</cp:coreProperties>
</file>