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A0F32C0C-0F3E-48C1-BFC7-DBDD4627CE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E413" i="1" s="1"/>
  <c r="E423" i="1" s="1"/>
  <c r="H414" i="1"/>
  <c r="F414" i="1"/>
  <c r="F413" i="1" s="1"/>
  <c r="E414" i="1"/>
  <c r="H413" i="1"/>
  <c r="H423" i="1" s="1"/>
  <c r="I390" i="1"/>
  <c r="H390" i="1"/>
  <c r="G390" i="1"/>
  <c r="F390" i="1"/>
  <c r="I389" i="1"/>
  <c r="H389" i="1"/>
  <c r="G389" i="1"/>
  <c r="F389" i="1"/>
  <c r="I388" i="1"/>
  <c r="I386" i="1" s="1"/>
  <c r="G388" i="1"/>
  <c r="G386" i="1" s="1"/>
  <c r="F388" i="1"/>
  <c r="I387" i="1"/>
  <c r="G387" i="1"/>
  <c r="F387" i="1"/>
  <c r="F386" i="1" s="1"/>
  <c r="I385" i="1"/>
  <c r="H385" i="1"/>
  <c r="G385" i="1"/>
  <c r="F385" i="1"/>
  <c r="I384" i="1"/>
  <c r="G384" i="1"/>
  <c r="H384" i="1" s="1"/>
  <c r="H380" i="1" s="1"/>
  <c r="F384" i="1"/>
  <c r="I383" i="1"/>
  <c r="I380" i="1" s="1"/>
  <c r="H383" i="1"/>
  <c r="G383" i="1"/>
  <c r="F383" i="1"/>
  <c r="F380" i="1" s="1"/>
  <c r="F391" i="1" s="1"/>
  <c r="I382" i="1"/>
  <c r="G382" i="1"/>
  <c r="H382" i="1" s="1"/>
  <c r="F382" i="1"/>
  <c r="I381" i="1"/>
  <c r="H381" i="1"/>
  <c r="G381" i="1"/>
  <c r="F381" i="1"/>
  <c r="G380" i="1"/>
  <c r="D380" i="1"/>
  <c r="D391" i="1" s="1"/>
  <c r="H372" i="1"/>
  <c r="F372" i="1"/>
  <c r="H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E350" i="1"/>
  <c r="E354" i="1" s="1"/>
  <c r="D343" i="1"/>
  <c r="H299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H295" i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E18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F175" i="1"/>
  <c r="E175" i="1"/>
  <c r="D167" i="1"/>
  <c r="D169" i="1" s="1"/>
  <c r="E150" i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G139" i="1" s="1"/>
  <c r="G133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E134" i="1"/>
  <c r="D134" i="1"/>
  <c r="D133" i="1" s="1"/>
  <c r="D150" i="1" s="1"/>
  <c r="E133" i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I150" i="1" s="1"/>
  <c r="G129" i="1"/>
  <c r="G128" i="1" s="1"/>
  <c r="F129" i="1"/>
  <c r="F128" i="1"/>
  <c r="E128" i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F96" i="1" s="1"/>
  <c r="F95" i="1" s="1"/>
  <c r="E96" i="1"/>
  <c r="E95" i="1" s="1"/>
  <c r="E107" i="1" s="1"/>
  <c r="D96" i="1"/>
  <c r="D95" i="1"/>
  <c r="I94" i="1"/>
  <c r="I92" i="1" s="1"/>
  <c r="I107" i="1" s="1"/>
  <c r="G94" i="1"/>
  <c r="H94" i="1" s="1"/>
  <c r="H92" i="1" s="1"/>
  <c r="F94" i="1"/>
  <c r="I93" i="1"/>
  <c r="G93" i="1"/>
  <c r="H93" i="1" s="1"/>
  <c r="F93" i="1"/>
  <c r="G92" i="1"/>
  <c r="F92" i="1"/>
  <c r="F107" i="1" s="1"/>
  <c r="E92" i="1"/>
  <c r="D92" i="1"/>
  <c r="D107" i="1" s="1"/>
  <c r="C89" i="1"/>
  <c r="H85" i="1"/>
  <c r="F85" i="1"/>
  <c r="D85" i="1"/>
  <c r="H61" i="1"/>
  <c r="I35" i="1" s="1"/>
  <c r="H60" i="1"/>
  <c r="I55" i="1"/>
  <c r="I32" i="1" s="1"/>
  <c r="I27" i="1" s="1"/>
  <c r="G55" i="1"/>
  <c r="G32" i="1" s="1"/>
  <c r="H32" i="1" s="1"/>
  <c r="F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G35" i="1"/>
  <c r="G34" i="1" s="1"/>
  <c r="H34" i="1" s="1"/>
  <c r="F35" i="1"/>
  <c r="E35" i="1"/>
  <c r="D34" i="1"/>
  <c r="I33" i="1"/>
  <c r="H33" i="1"/>
  <c r="G33" i="1"/>
  <c r="F33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D26" i="1" s="1"/>
  <c r="E26" i="1"/>
  <c r="I25" i="1"/>
  <c r="H25" i="1"/>
  <c r="H23" i="1" s="1"/>
  <c r="G25" i="1"/>
  <c r="F25" i="1"/>
  <c r="I24" i="1"/>
  <c r="I23" i="1" s="1"/>
  <c r="H24" i="1"/>
  <c r="G24" i="1"/>
  <c r="G23" i="1" s="1"/>
  <c r="F24" i="1"/>
  <c r="F23" i="1" s="1"/>
  <c r="E23" i="1"/>
  <c r="E44" i="1" s="1"/>
  <c r="D23" i="1"/>
  <c r="D44" i="1" s="1"/>
  <c r="H16" i="1"/>
  <c r="F16" i="1"/>
  <c r="D16" i="1"/>
  <c r="G150" i="1" l="1"/>
  <c r="I34" i="1"/>
  <c r="I26" i="1" s="1"/>
  <c r="I44" i="1" s="1"/>
  <c r="H35" i="1"/>
  <c r="F34" i="1"/>
  <c r="F26" i="1" s="1"/>
  <c r="F44" i="1"/>
  <c r="G249" i="1"/>
  <c r="F253" i="1"/>
  <c r="G253" i="1" s="1"/>
  <c r="H391" i="1"/>
  <c r="G107" i="1"/>
  <c r="H134" i="1"/>
  <c r="H133" i="1" s="1"/>
  <c r="F299" i="1"/>
  <c r="G295" i="1"/>
  <c r="G299" i="1"/>
  <c r="G391" i="1"/>
  <c r="H386" i="1"/>
  <c r="H96" i="1"/>
  <c r="H95" i="1" s="1"/>
  <c r="H107" i="1" s="1"/>
  <c r="F150" i="1"/>
  <c r="F184" i="1"/>
  <c r="G184" i="1" s="1"/>
  <c r="G354" i="1"/>
  <c r="I391" i="1"/>
  <c r="F423" i="1"/>
  <c r="G423" i="1" s="1"/>
  <c r="G413" i="1"/>
  <c r="H26" i="1"/>
  <c r="H44" i="1" s="1"/>
  <c r="G27" i="1"/>
  <c r="G26" i="1" s="1"/>
  <c r="G44" i="1" s="1"/>
  <c r="H27" i="1"/>
  <c r="H184" i="1"/>
  <c r="G96" i="1"/>
  <c r="G95" i="1" s="1"/>
  <c r="H55" i="1"/>
  <c r="H129" i="1"/>
  <c r="H128" i="1" s="1"/>
  <c r="H150" i="1" s="1"/>
  <c r="G350" i="1"/>
  <c r="G175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<sst xmlns="http://schemas.openxmlformats.org/spreadsheetml/2006/main" count="359" uniqueCount="151">
  <si>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</si>
  <si>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</si>
  <si>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</si>
  <si>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</si>
  <si>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</si>
  <si>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</si>
  <si>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</si>
  <si>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</si>
  <si>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</si>
  <si>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</si>
  <si>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</si>
  <si>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</si>
  <si>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</si>
  <si>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</si>
  <si>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</si>
  <si>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</si>
  <si>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</si>
  <si>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</si>
  <si>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</si>
  <si>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</si>
  <si>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</si>
  <si>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</si>
  <si>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</si>
  <si>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</si>
  <si>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</si>
  <si>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</si>
  <si>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</si>
  <si>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</si>
  <si>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</si>
  <si>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</si>
  <si>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</si>
  <si>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</si>
  <si>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</si>
  <si>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</si>
  <si>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</si>
  <si>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</si>
  <si>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</si>
  <si>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</si>
  <si>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</si>
  <si>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</si>
  <si>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</si>
  <si>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</si>
  <si>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</si>
  <si>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</si>
  <si>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</si>
  <si>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</si>
  <si>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</si>
  <si>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</si>
  <si>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</si>
  <si>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</si>
  <si>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</si>
  <si>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</si>
  <si>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</si>
  <si>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</si>
  <si>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</si>
  <si>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</si>
  <si>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</si>
  <si>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</si>
  <si>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</si>
  <si>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</si>
  <si>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</si>
  <si>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</si>
  <si>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</si>
  <si>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</si>
  <si>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</si>
  <si>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</si>
  <si>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</si>
  <si>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</si>
  <si>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</si>
  <si>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</si>
  <si>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</si>
  <si>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</si>
  <si>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</si>
  <si>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</si>
  <si>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</si>
  <si>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</si>
  <si>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</si>
  <si>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</si>
  <si>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</si>
  <si>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</si>
  <si>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</si>
  <si>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</si>
  <si>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</si>
  <si>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</si>
  <si>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</si>
  <si>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</si>
  <si>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</si>
  <si>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</si>
  <si>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</si>
  <si>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</si>
  <si>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</si>
  <si>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</si>
  <si>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</si>
  <si>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</si>
  <si>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</si>
  <si>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</si>
  <si>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</si>
  <si>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</si>
  <si>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</si>
  <si>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</si>
  <si>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</si>
  <si>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</si>
  <si>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</si>
  <si>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</si>
  <si>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</si>
  <si>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</si>
  <si>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</si>
  <si>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</si>
  <si>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</si>
  <si>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</si>
  <si>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</si>
  <si>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</si>
  <si>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</si>
  <si>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</si>
  <si>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</si>
  <si>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</si>
  <si>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</si>
  <si>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</si>
  <si>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</si>
  <si>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</si>
  <si>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</si>
  <si>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</si>
  <si>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</si>
  <si>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</si>
  <si>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</si>
  <si>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</si>
  <si>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</si>
  <si>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</si>
  <si>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</si>
  <si>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</si>
  <si>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</si>
  <si>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</si>
  <si>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</si>
  <si>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</si>
  <si>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</si>
  <si>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</si>
  <si>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</si>
  <si>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</si>
  <si>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</si>
  <si>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</si>
  <si>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</si>
  <si>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</si>
  <si>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</si>
  <si>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63 tonn, men det legges til grunn at hele avsetningen tas</t>
  </si>
  <si>
    <t>4 Registrert rekreasjonsfiske utgjør 524 tonn, men det legges til grunn at hele avsetningen tas</t>
  </si>
  <si>
    <t>3 Registrert rekreasjonsfiske utgjør 902 tonn, men det legges til grunn at hele avsetningen tas</t>
  </si>
  <si>
    <t>FANGST UKE 51</t>
  </si>
  <si>
    <t>FANGST T.O.M UKE 51</t>
  </si>
  <si>
    <t>RESTKVOTER UKE 51</t>
  </si>
  <si>
    <t>FANGST T.O.M UKE 51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</si>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</sst>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73" zoomScale="65" zoomScaleNormal="85" zoomScaleSheetLayoutView="100" zoomScalePageLayoutView="65" workbookViewId="0">
      <selection activeCell="J391" sqref="J39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1818.5112900000001</v>
      </c>
      <c r="G23" s="28">
        <f t="shared" si="0"/>
        <v>55404.762309999998</v>
      </c>
      <c r="H23" s="11">
        <f t="shared" si="0"/>
        <v>5407.2376900000027</v>
      </c>
      <c r="I23" s="11">
        <f t="shared" si="0"/>
        <v>85458.564099999989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1721.27529</f>
        <v>1721.27529</v>
      </c>
      <c r="G24" s="23">
        <f>54741.99838</f>
        <v>54741.998379999997</v>
      </c>
      <c r="H24" s="23">
        <f>E24-G24</f>
        <v>5300.0016200000027</v>
      </c>
      <c r="I24" s="23">
        <f>84753.56609</f>
        <v>84753.566089999993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97.236</f>
        <v>97.236000000000004</v>
      </c>
      <c r="G25" s="23">
        <f>662.76393</f>
        <v>662.76392999999996</v>
      </c>
      <c r="H25" s="23">
        <f>E25-G25</f>
        <v>107.23607000000004</v>
      </c>
      <c r="I25" s="23">
        <f>704.99801</f>
        <v>704.99801000000002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1343.30573</v>
      </c>
      <c r="G26" s="11">
        <f t="shared" si="1"/>
        <v>136144.06354</v>
      </c>
      <c r="H26" s="11">
        <f t="shared" si="1"/>
        <v>8729.936459999999</v>
      </c>
      <c r="I26" s="11">
        <f t="shared" si="1"/>
        <v>206323.75164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903.31467999999995</v>
      </c>
      <c r="G27" s="132">
        <f t="shared" ref="G27:I27" si="2">G28+G29+G30+G31+G32</f>
        <v>108126.9562</v>
      </c>
      <c r="H27" s="132">
        <f t="shared" si="2"/>
        <v>4851.0437999999995</v>
      </c>
      <c r="I27" s="132">
        <f t="shared" si="2"/>
        <v>156530.61981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194.65671</f>
        <v>194.65671</v>
      </c>
      <c r="G28" s="127">
        <f>28655.65192 - G56</f>
        <v>26461.65192</v>
      </c>
      <c r="H28" s="127">
        <f t="shared" ref="H28:H40" si="3">E28-G28</f>
        <v>2168.3480799999998</v>
      </c>
      <c r="I28" s="127">
        <f>39641.5508 - H56</f>
        <v>39641.550799999997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253.89949</f>
        <v>253.89948999999999</v>
      </c>
      <c r="G29" s="127">
        <f>31166.76237 - G57</f>
        <v>28635.76237</v>
      </c>
      <c r="H29" s="127">
        <f t="shared" si="3"/>
        <v>1029.2376299999996</v>
      </c>
      <c r="I29" s="127">
        <f>43071.33208 - H57</f>
        <v>43071.33208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45.18266</f>
        <v>45.182659999999998</v>
      </c>
      <c r="G30" s="127">
        <f>27825.57824 - G58</f>
        <v>26282.578239999999</v>
      </c>
      <c r="H30" s="127">
        <f t="shared" si="3"/>
        <v>961.42176000000109</v>
      </c>
      <c r="I30" s="127">
        <f>38634.14993 - H58</f>
        <v>38634.14993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40.57582</f>
        <v>40.57582</v>
      </c>
      <c r="G31" s="127">
        <f>20478.96367 - G59</f>
        <v>19095.963670000001</v>
      </c>
      <c r="H31" s="127">
        <f t="shared" si="3"/>
        <v>243.036329999999</v>
      </c>
      <c r="I31" s="127">
        <f>25813.587 - H59</f>
        <v>25813.587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369</v>
      </c>
      <c r="G32" s="127">
        <f>G55</f>
        <v>7651</v>
      </c>
      <c r="H32" s="127">
        <f t="shared" si="3"/>
        <v>449</v>
      </c>
      <c r="I32" s="127">
        <f>I55</f>
        <v>9370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248.28813</f>
        <v>248.28813</v>
      </c>
      <c r="G33" s="132">
        <f>15130.09518</f>
        <v>15130.09518</v>
      </c>
      <c r="H33" s="132">
        <f t="shared" si="3"/>
        <v>1728.9048199999997</v>
      </c>
      <c r="I33" s="132">
        <f>22794.41716</f>
        <v>22794.417160000001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191.70292000000001</v>
      </c>
      <c r="G34" s="132">
        <f>G35+G36</f>
        <v>12887.01216</v>
      </c>
      <c r="H34" s="132">
        <f t="shared" si="3"/>
        <v>2149.9878399999998</v>
      </c>
      <c r="I34" s="132">
        <f>I35+I36</f>
        <v>26998.714670000001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111.70292</f>
        <v>111.70292000000001</v>
      </c>
      <c r="G35" s="132">
        <f>15838.01216 - G60 - G61</f>
        <v>11742.01216</v>
      </c>
      <c r="H35" s="127">
        <f t="shared" si="3"/>
        <v>2334.9878399999998</v>
      </c>
      <c r="I35" s="127">
        <f>25748.71467 - H60 - H61</f>
        <v>25884.714670000001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80</v>
      </c>
      <c r="G36" s="71">
        <f>G60</f>
        <v>1145</v>
      </c>
      <c r="H36" s="71">
        <f t="shared" si="3"/>
        <v>-185</v>
      </c>
      <c r="I36" s="71">
        <f>I60</f>
        <v>1114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12.84816</f>
        <v>12.84816</v>
      </c>
      <c r="G38" s="98">
        <f>546.97352</f>
        <v>546.97352000000001</v>
      </c>
      <c r="H38" s="98">
        <f t="shared" si="3"/>
        <v>308.02647999999999</v>
      </c>
      <c r="I38" s="98">
        <f>692.74938</f>
        <v>692.74937999999997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17</v>
      </c>
      <c r="G39" s="98">
        <f>G61</f>
        <v>2951</v>
      </c>
      <c r="H39" s="98">
        <f t="shared" si="3"/>
        <v>49</v>
      </c>
      <c r="I39" s="98">
        <f>I61</f>
        <v>4544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1.04994</f>
        <v>1.0499400000000001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2.93482</f>
        <v>2.9348200000000002</v>
      </c>
      <c r="G41" s="98">
        <f>379.17055</f>
        <v>379.17054999999999</v>
      </c>
      <c r="H41" s="98">
        <f>E41-G41</f>
        <v>20.829450000000008</v>
      </c>
      <c r="I41" s="98">
        <f>377.3328</f>
        <v>377.33280000000002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3.35954</f>
        <v>3.35954</v>
      </c>
      <c r="G43" s="139">
        <f>173.54542</f>
        <v>173.54542000000001</v>
      </c>
      <c r="H43" s="139">
        <f t="shared" ref="H43" si="4">E43-G43</f>
        <v>-173.54542000000001</v>
      </c>
      <c r="I43" s="139">
        <f>207.81677</f>
        <v>207.81676999999999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3199.0094800000002</v>
      </c>
      <c r="G44" s="76">
        <f t="shared" si="5"/>
        <v>202947.88054000001</v>
      </c>
      <c r="H44" s="76">
        <f t="shared" si="5"/>
        <v>16093.119460000002</v>
      </c>
      <c r="I44" s="76">
        <f t="shared" si="5"/>
        <v>305351.00628999993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369</v>
      </c>
      <c r="G55" s="11">
        <f>G59+G58+G57+G56</f>
        <v>7651</v>
      </c>
      <c r="H55" s="295">
        <f>E55-G55</f>
        <v>449</v>
      </c>
      <c r="I55" s="11">
        <f>I59+I58+I57+I56</f>
        <v>9370</v>
      </c>
      <c r="J55" s="120"/>
    </row>
    <row r="56" spans="1:10" ht="14.15" customHeight="1" x14ac:dyDescent="0.35">
      <c r="A56" s="101"/>
      <c r="B56" s="24"/>
      <c r="C56" s="62" t="s">
        <v>24</v>
      </c>
      <c r="D56" s="296"/>
      <c r="E56" s="296"/>
      <c r="F56" s="127">
        <v>127</v>
      </c>
      <c r="G56" s="127">
        <v>2194</v>
      </c>
      <c r="H56" s="296"/>
      <c r="I56" s="127">
        <v>1935</v>
      </c>
      <c r="J56" s="120"/>
    </row>
    <row r="57" spans="1:10" ht="14.15" customHeight="1" x14ac:dyDescent="0.35">
      <c r="A57" s="101"/>
      <c r="B57" s="24"/>
      <c r="C57" s="62" t="s">
        <v>25</v>
      </c>
      <c r="D57" s="296"/>
      <c r="E57" s="296"/>
      <c r="F57" s="127">
        <v>166</v>
      </c>
      <c r="G57" s="127">
        <v>2531</v>
      </c>
      <c r="H57" s="296"/>
      <c r="I57" s="127">
        <v>3248</v>
      </c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296"/>
      <c r="F58" s="127">
        <v>28</v>
      </c>
      <c r="G58" s="127">
        <v>1543</v>
      </c>
      <c r="H58" s="296"/>
      <c r="I58" s="127">
        <v>2778</v>
      </c>
      <c r="J58" s="120"/>
    </row>
    <row r="59" spans="1:10" ht="14.15" customHeight="1" x14ac:dyDescent="0.35">
      <c r="A59" s="101"/>
      <c r="B59" s="24"/>
      <c r="C59" s="87" t="s">
        <v>27</v>
      </c>
      <c r="D59" s="297"/>
      <c r="E59" s="297"/>
      <c r="F59" s="192">
        <v>48</v>
      </c>
      <c r="G59" s="192">
        <v>1383</v>
      </c>
      <c r="H59" s="297"/>
      <c r="I59" s="192">
        <v>1409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80</v>
      </c>
      <c r="G60" s="95">
        <v>1145</v>
      </c>
      <c r="H60" s="95">
        <f>E60-G60</f>
        <v>-185</v>
      </c>
      <c r="I60" s="95">
        <v>1114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17</v>
      </c>
      <c r="G61" s="139">
        <v>2951</v>
      </c>
      <c r="H61" s="139">
        <f>E61-G61</f>
        <v>49</v>
      </c>
      <c r="I61" s="139">
        <v>4544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265.53978999999998</v>
      </c>
      <c r="G92" s="11">
        <f t="shared" si="6"/>
        <v>25512.807579999997</v>
      </c>
      <c r="H92" s="11">
        <f t="shared" si="6"/>
        <v>448.19242000000179</v>
      </c>
      <c r="I92" s="11">
        <f t="shared" si="6"/>
        <v>45882.075420000001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259.18379</f>
        <v>259.18378999999999</v>
      </c>
      <c r="G93" s="23">
        <f>24698.99143</f>
        <v>24698.991429999998</v>
      </c>
      <c r="H93" s="23">
        <f>E93-G93</f>
        <v>437.00857000000178</v>
      </c>
      <c r="I93" s="23">
        <f>45195.73193</f>
        <v>45195.731930000002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6.356</f>
        <v>6.3559999999999999</v>
      </c>
      <c r="G94" s="50">
        <f>813.81615</f>
        <v>813.81614999999999</v>
      </c>
      <c r="H94" s="50">
        <f>E94-G94</f>
        <v>11.183850000000007</v>
      </c>
      <c r="I94" s="50">
        <f>686.34349</f>
        <v>686.34348999999997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248.22879</v>
      </c>
      <c r="G95" s="11">
        <f t="shared" si="7"/>
        <v>44631.745320000002</v>
      </c>
      <c r="H95" s="11">
        <f t="shared" si="7"/>
        <v>4362.25468</v>
      </c>
      <c r="I95" s="11">
        <f t="shared" si="7"/>
        <v>43443.739880000001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195.54664</v>
      </c>
      <c r="G96" s="132">
        <f t="shared" si="8"/>
        <v>34952.611670000006</v>
      </c>
      <c r="H96" s="132">
        <f t="shared" si="8"/>
        <v>2541.3883299999998</v>
      </c>
      <c r="I96" s="132">
        <f t="shared" si="8"/>
        <v>27362.768529999998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75.32489</f>
        <v>75.324889999999996</v>
      </c>
      <c r="G97" s="127">
        <f>6328.50147</f>
        <v>6328.5014700000002</v>
      </c>
      <c r="H97" s="127">
        <f t="shared" ref="H97:H104" si="9">E97-G97</f>
        <v>3686.4985299999998</v>
      </c>
      <c r="I97" s="127">
        <f>5441.10928</f>
        <v>5441.1092799999997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89.72131</f>
        <v>89.721310000000003</v>
      </c>
      <c r="G98" s="127">
        <f>11065.12495</f>
        <v>11065.124949999999</v>
      </c>
      <c r="H98" s="127">
        <f t="shared" si="9"/>
        <v>-451.12494999999944</v>
      </c>
      <c r="I98" s="127">
        <f>8976.65159</f>
        <v>8976.6515899999995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22.52554</f>
        <v>22.525539999999999</v>
      </c>
      <c r="G99" s="127">
        <f>10439.10388</f>
        <v>10439.103880000001</v>
      </c>
      <c r="H99" s="127">
        <f t="shared" si="9"/>
        <v>-327.10388000000057</v>
      </c>
      <c r="I99" s="127">
        <f>7542.24901</f>
        <v>7542.2490100000005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7.9749</f>
        <v>7.9748999999999999</v>
      </c>
      <c r="G100" s="127">
        <f>7119.88137</f>
        <v>7119.8813700000001</v>
      </c>
      <c r="H100" s="127">
        <f t="shared" si="9"/>
        <v>-366.88137000000006</v>
      </c>
      <c r="I100" s="127">
        <f>5402.75865</f>
        <v>5402.7586499999998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1.47308</f>
        <v>1.4730799999999999</v>
      </c>
      <c r="G101" s="132">
        <f>6785.61378</f>
        <v>6785.6137799999997</v>
      </c>
      <c r="H101" s="132">
        <f t="shared" si="9"/>
        <v>810.38622000000032</v>
      </c>
      <c r="I101" s="132">
        <f>13331.63505</f>
        <v>13331.635050000001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51.20907</f>
        <v>51.209069999999997</v>
      </c>
      <c r="G102" s="75">
        <f>2893.51987</f>
        <v>2893.5198700000001</v>
      </c>
      <c r="H102" s="75">
        <f t="shared" si="9"/>
        <v>1010.4801299999999</v>
      </c>
      <c r="I102" s="75">
        <f>2749.3363</f>
        <v>2749.3362999999999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39.06244</f>
        <v>39.062440000000002</v>
      </c>
      <c r="H103" s="98">
        <f t="shared" si="9"/>
        <v>279.93756000000002</v>
      </c>
      <c r="I103" s="98">
        <f>17.73131</f>
        <v>17.731310000000001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0.01472</f>
        <v>1.472E-2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0.42606</f>
        <v>0.42605999999999999</v>
      </c>
      <c r="G105" s="98">
        <f>57.72846</f>
        <v>57.728459999999998</v>
      </c>
      <c r="H105" s="139">
        <f>E105-G105</f>
        <v>-7.7284599999999983</v>
      </c>
      <c r="I105" s="98">
        <f>23.39506</f>
        <v>23.395060000000001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3.65896</f>
        <v>3.65896</v>
      </c>
      <c r="G106" s="139">
        <f>172.91536</f>
        <v>172.91535999999999</v>
      </c>
      <c r="H106" s="139">
        <f t="shared" ref="H106" si="10">E106-G106</f>
        <v>-172.91535999999999</v>
      </c>
      <c r="I106" s="139">
        <f>105.50906</f>
        <v>105.50906000000001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517.86831999999993</v>
      </c>
      <c r="G107" s="76">
        <f t="shared" si="12"/>
        <v>70714.259159999987</v>
      </c>
      <c r="H107" s="76">
        <f t="shared" si="12"/>
        <v>4909.7408400000022</v>
      </c>
      <c r="I107" s="76">
        <f t="shared" si="12"/>
        <v>89772.450729999997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72627</v>
      </c>
      <c r="F128" s="11">
        <f t="shared" ref="F128:I128" si="13">F129+F130+F131</f>
        <v>3159.9223300000003</v>
      </c>
      <c r="G128" s="11">
        <f t="shared" si="13"/>
        <v>67753.309970000002</v>
      </c>
      <c r="H128" s="11">
        <f t="shared" si="13"/>
        <v>4873.6900299999961</v>
      </c>
      <c r="I128" s="11">
        <f t="shared" si="13"/>
        <v>73662.298149999988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57854</v>
      </c>
      <c r="F129" s="23">
        <f>2945.18728</f>
        <v>2945.1872800000001</v>
      </c>
      <c r="G129" s="23">
        <f>60536.00994</f>
        <v>60536.009940000004</v>
      </c>
      <c r="H129" s="23">
        <f>E129-G129</f>
        <v>-2682.0099400000036</v>
      </c>
      <c r="I129" s="23">
        <f>63095.11431</f>
        <v>63095.114309999997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14273</v>
      </c>
      <c r="F130" s="23">
        <f>214.73505</f>
        <v>214.73505</v>
      </c>
      <c r="G130" s="23">
        <f>7140.78588</f>
        <v>7140.7858800000004</v>
      </c>
      <c r="H130" s="23">
        <f>E130-G130</f>
        <v>7132.2141199999996</v>
      </c>
      <c r="I130" s="23">
        <f>10411.89779</f>
        <v>10411.897790000001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76.51415</f>
        <v>76.514150000000001</v>
      </c>
      <c r="H131" s="55">
        <f>E131-G131</f>
        <v>423.48585000000003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52483</v>
      </c>
      <c r="F132" s="95">
        <f>0.064</f>
        <v>6.4000000000000001E-2</v>
      </c>
      <c r="G132" s="95">
        <f>16681.3968+7183.0032</f>
        <v>23864.399999999998</v>
      </c>
      <c r="H132" s="95">
        <f>E132-G132</f>
        <v>28618.600000000002</v>
      </c>
      <c r="I132" s="95">
        <f>39013.89018</f>
        <v>39013.890180000002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80329</v>
      </c>
      <c r="F133" s="94">
        <f>F134+F139+F142</f>
        <v>2422.7890799999996</v>
      </c>
      <c r="G133" s="94">
        <f t="shared" ref="G133" si="14">G134+G139+G142</f>
        <v>73870.038770000014</v>
      </c>
      <c r="H133" s="94">
        <f>H134+H139+H142</f>
        <v>6458.9612299999953</v>
      </c>
      <c r="I133" s="94">
        <f>I134+I139+I142</f>
        <v>87283.375139999989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59251</v>
      </c>
      <c r="F134" s="125">
        <f>F135+F136+F137+F138</f>
        <v>1384.6748399999999</v>
      </c>
      <c r="G134" s="125">
        <f>G135+G136+G138+G137</f>
        <v>56237.43637000001</v>
      </c>
      <c r="H134" s="125">
        <f>H135+H136+H137+H138</f>
        <v>3013.5636299999951</v>
      </c>
      <c r="I134" s="125">
        <f>I135+I136+I137+I138</f>
        <v>69323.108139999997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17770</v>
      </c>
      <c r="F135" s="127">
        <f>114.79443</f>
        <v>114.79443000000001</v>
      </c>
      <c r="G135" s="127">
        <v>12506.33288</v>
      </c>
      <c r="H135" s="127">
        <f>E135-G135</f>
        <v>5263.6671200000001</v>
      </c>
      <c r="I135" s="127">
        <f>12756.00537</f>
        <v>12756.005370000001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14935</v>
      </c>
      <c r="F136" s="127">
        <f>384.99804</f>
        <v>384.99804</v>
      </c>
      <c r="G136" s="127">
        <v>16113.369695000001</v>
      </c>
      <c r="H136" s="127">
        <f>E136-G136</f>
        <v>-1178.3696950000012</v>
      </c>
      <c r="I136" s="127">
        <f>19270.60392</f>
        <v>19270.603920000001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13047</v>
      </c>
      <c r="F137" s="127">
        <f>738.96697</f>
        <v>738.96696999999995</v>
      </c>
      <c r="G137" s="127">
        <v>14733.145865000002</v>
      </c>
      <c r="H137" s="127">
        <f>E137-G137</f>
        <v>-1686.1458650000022</v>
      </c>
      <c r="I137" s="127">
        <f>20467.82146</f>
        <v>20467.821459999999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13499</v>
      </c>
      <c r="F138" s="127">
        <f>145.9154</f>
        <v>145.91540000000001</v>
      </c>
      <c r="G138" s="127">
        <v>12884.587930000002</v>
      </c>
      <c r="H138" s="127">
        <f>E138-G138</f>
        <v>614.41206999999849</v>
      </c>
      <c r="I138" s="127">
        <f>16828.67739</f>
        <v>16828.677390000001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8925</v>
      </c>
      <c r="F139" s="132">
        <f>SUM(F140:F141)</f>
        <v>997.27805999999998</v>
      </c>
      <c r="G139" s="132">
        <f>SUM(G140:G141)</f>
        <v>10629.32079</v>
      </c>
      <c r="H139" s="132">
        <f>H140+H141</f>
        <v>-1704.3207899999995</v>
      </c>
      <c r="I139" s="132">
        <f>SUM(I140:I141)</f>
        <v>9005.5887899999998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8425</v>
      </c>
      <c r="F140" s="127">
        <f>989.97966</f>
        <v>989.97965999999997</v>
      </c>
      <c r="G140" s="127">
        <f>10146.02911</f>
        <v>10146.029109999999</v>
      </c>
      <c r="H140" s="127">
        <f t="shared" ref="H140:H148" si="15">E140-G140</f>
        <v>-1721.0291099999995</v>
      </c>
      <c r="I140" s="127">
        <f>8717.23783</f>
        <v>8717.23783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7.2984</f>
        <v>7.2984</v>
      </c>
      <c r="G141" s="127">
        <f>483.29168</f>
        <v>483.29167999999999</v>
      </c>
      <c r="H141" s="127">
        <f t="shared" si="15"/>
        <v>16.708320000000015</v>
      </c>
      <c r="I141" s="127">
        <f>288.35096</f>
        <v>288.35095999999999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12153</v>
      </c>
      <c r="F142" s="75">
        <f>40.83618</f>
        <v>40.836179999999999</v>
      </c>
      <c r="G142" s="75">
        <f>7003.28161</f>
        <v>7003.28161</v>
      </c>
      <c r="H142" s="75">
        <f t="shared" si="15"/>
        <v>5149.71839</v>
      </c>
      <c r="I142" s="75">
        <f>8954.67821</f>
        <v>8954.67821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0.85923</f>
        <v>0.85923000000000005</v>
      </c>
      <c r="G143" s="139">
        <f>17.64483</f>
        <v>17.644829999999999</v>
      </c>
      <c r="H143" s="139">
        <f t="shared" si="15"/>
        <v>128.35516999999999</v>
      </c>
      <c r="I143" s="139">
        <f>34.62313</f>
        <v>34.623130000000003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0.1512</f>
        <v>0.1512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5.1768</f>
        <v>5.1768000000000001</v>
      </c>
      <c r="G147" s="98">
        <f>92.62376</f>
        <v>92.623760000000004</v>
      </c>
      <c r="H147" s="139">
        <f t="shared" si="15"/>
        <v>183.37624</v>
      </c>
      <c r="I147" s="98">
        <f>52.27501</f>
        <v>52.275010000000002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1.513</f>
        <v>1.5129999999999999</v>
      </c>
      <c r="G148" s="139">
        <f>300.41424</f>
        <v>300.41424000000001</v>
      </c>
      <c r="H148" s="139">
        <f t="shared" si="15"/>
        <v>-300.41424000000001</v>
      </c>
      <c r="I148" s="139">
        <f>627.82721</f>
        <v>627.82721000000004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208111</v>
      </c>
      <c r="F150" s="76">
        <f>F128+F132+F133+F143+F144+F145+F146+F147+F148</f>
        <v>5590.4756400000006</v>
      </c>
      <c r="G150" s="76">
        <f>G128+G132+G133+G143+G144+G145+G146+G147+G148</f>
        <v>168154.46757000001</v>
      </c>
      <c r="H150" s="76">
        <f>H128+H132+H133+H143+H144+H145+H146+H147+H148</f>
        <v>39956.532429999992</v>
      </c>
      <c r="I150" s="76">
        <f>I128+I132+I133+I143+I144+I145+I146+I147+I148</f>
        <v>202936.86981999999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267.95298</f>
        <v>267.95298000000003</v>
      </c>
      <c r="F175" s="276">
        <f>2077.98704</f>
        <v>2077.98704</v>
      </c>
      <c r="G175" s="43">
        <f>D175-F175-F176</f>
        <v>446.31024000000002</v>
      </c>
      <c r="H175" s="276">
        <f>2810.27676</f>
        <v>2810.2767600000002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1.87026</f>
        <v>1.87026</v>
      </c>
      <c r="F176" s="152">
        <f>1698.70272</f>
        <v>1698.70272</v>
      </c>
      <c r="G176" s="217"/>
      <c r="H176" s="152">
        <f>2063.19289</f>
        <v>2063.1928899999998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132.40589</f>
        <v>132.40589</v>
      </c>
      <c r="G177" s="172">
        <f>D177-F177</f>
        <v>67.594110000000001</v>
      </c>
      <c r="H177" s="172">
        <f>78.23566</f>
        <v>78.235659999999996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0.65503999999999996</v>
      </c>
      <c r="F178" s="181">
        <f>F179+F180+F181</f>
        <v>5994.1727899999996</v>
      </c>
      <c r="G178" s="181">
        <f>D178-F178</f>
        <v>339.82721000000038</v>
      </c>
      <c r="H178" s="181">
        <f>H179+H180+H181</f>
        <v>8202.7534500000002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0.20704</f>
        <v>0.20704</v>
      </c>
      <c r="F179" s="127">
        <f>3093.53655</f>
        <v>3093.5365499999998</v>
      </c>
      <c r="G179" s="127"/>
      <c r="H179" s="127">
        <f>4200.54997</f>
        <v>4200.54997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0.38128</f>
        <v>0.38128000000000001</v>
      </c>
      <c r="F180" s="127">
        <f>1834.79023</f>
        <v>1834.7902300000001</v>
      </c>
      <c r="G180" s="127"/>
      <c r="H180" s="127">
        <f>2529.36287</f>
        <v>2529.3628699999999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0.06672</f>
        <v>6.6720000000000002E-2</v>
      </c>
      <c r="F181" s="192">
        <f>1065.84601</f>
        <v>1065.84601</v>
      </c>
      <c r="G181" s="192"/>
      <c r="H181" s="192">
        <f>1472.84061</f>
        <v>1472.84061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1.9783</f>
        <v>1.9782999999999999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270.47827999999998</v>
      </c>
      <c r="F184" s="194">
        <f>F175+F176+F177+F178+F182+F183</f>
        <v>9903.2684399999998</v>
      </c>
      <c r="G184" s="194">
        <f>D184-F184</f>
        <v>919.73156000000017</v>
      </c>
      <c r="H184" s="194">
        <f>H175+H176+H177+H178+H182+H183</f>
        <v>13156.437060000002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368.03111</f>
        <v>368.03111000000001</v>
      </c>
      <c r="F204" s="124">
        <f>44817.29846</f>
        <v>44817.298459999998</v>
      </c>
      <c r="G204" s="124">
        <f>D204-F204</f>
        <v>1464.7015400000018</v>
      </c>
      <c r="H204" s="124">
        <f>43317.04269</f>
        <v>43317.042690000002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0.004</f>
        <v>4.0000000000000001E-3</v>
      </c>
      <c r="F205" s="124">
        <f>44.77344</f>
        <v>44.773440000000001</v>
      </c>
      <c r="G205" s="124">
        <f>D205-F205</f>
        <v>55.226559999999999</v>
      </c>
      <c r="H205" s="124">
        <f>71.76078</f>
        <v>71.760779999999997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368.03511000000003</v>
      </c>
      <c r="F207" s="190">
        <f>SUM(F204:F206)</f>
        <v>44862.071899999995</v>
      </c>
      <c r="G207" s="190">
        <f>D207-F207</f>
        <v>1555.9281000000046</v>
      </c>
      <c r="H207" s="190">
        <f>SUM(H204:H206)</f>
        <v>43388.803469999999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40.946460000000002</v>
      </c>
      <c r="F249" s="75">
        <f>F250+F251</f>
        <v>4474.43379</v>
      </c>
      <c r="G249" s="75">
        <f>D249-F249</f>
        <v>-487.43379000000004</v>
      </c>
      <c r="H249" s="75">
        <f>H250+H251</f>
        <v>4404.9265299999997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20.9304</f>
        <v>20.930399999999999</v>
      </c>
      <c r="F250" s="75">
        <f>3735.6756</f>
        <v>3735.6756</v>
      </c>
      <c r="G250" s="75"/>
      <c r="H250" s="75">
        <f>3662.05499</f>
        <v>3662.0549900000001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20.01606</f>
        <v>20.01606</v>
      </c>
      <c r="F251" s="124">
        <f>738.75819</f>
        <v>738.75819000000001</v>
      </c>
      <c r="G251" s="168"/>
      <c r="H251" s="124">
        <f>742.87154</f>
        <v>742.87153999999998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15.25613</f>
        <v>15.256130000000001</v>
      </c>
      <c r="F252" s="75">
        <f>5640.79489</f>
        <v>5640.7948900000001</v>
      </c>
      <c r="G252" s="75">
        <f>D252-F252</f>
        <v>-1027.7948900000001</v>
      </c>
      <c r="H252" s="75">
        <f>5806.19879</f>
        <v>5806.1987900000004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56.202590000000001</v>
      </c>
      <c r="F253" s="190">
        <f>SUM(F249,F252)</f>
        <v>10115.22868</v>
      </c>
      <c r="G253" s="190">
        <f>D253-F253</f>
        <v>-1515.2286800000002</v>
      </c>
      <c r="H253" s="190">
        <f>SUM(H249,H252)</f>
        <v>10211.125319999999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42.561660000000003</v>
      </c>
      <c r="F295" s="75">
        <f>F296+F297</f>
        <v>5574.42119</v>
      </c>
      <c r="G295" s="75">
        <f>D295-F295</f>
        <v>-484.42119000000002</v>
      </c>
      <c r="H295" s="75">
        <f>H296+H297</f>
        <v>6203.3355899999997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17.2162</f>
        <v>17.216200000000001</v>
      </c>
      <c r="F296" s="75">
        <f>4956.09055</f>
        <v>4956.0905499999999</v>
      </c>
      <c r="G296" s="75"/>
      <c r="H296" s="75">
        <f>5663.92245</f>
        <v>5663.92245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25.34546</f>
        <v>25.345459999999999</v>
      </c>
      <c r="F297" s="124">
        <f>618.33064</f>
        <v>618.33064000000002</v>
      </c>
      <c r="G297" s="168"/>
      <c r="H297" s="124">
        <f>539.41314</f>
        <v>539.41314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74.27012</f>
        <v>74.270120000000006</v>
      </c>
      <c r="F298" s="75">
        <f>3657.97685</f>
        <v>3657.97685</v>
      </c>
      <c r="G298" s="75">
        <f>D298-F298</f>
        <v>-676.97685000000001</v>
      </c>
      <c r="H298" s="75">
        <f>4503.6427</f>
        <v>4503.6427000000003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116.83178000000001</v>
      </c>
      <c r="F299" s="190">
        <f>SUM(F295,F298)</f>
        <v>9232.39804</v>
      </c>
      <c r="G299" s="190">
        <f>D299-F299</f>
        <v>-1161.39804</v>
      </c>
      <c r="H299" s="190">
        <f>SUM(H295,H298)</f>
        <v>10706.978289999999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6.17075</f>
        <v>6.17075</v>
      </c>
      <c r="F350" s="124">
        <f>718.12551</f>
        <v>718.12550999999996</v>
      </c>
      <c r="G350" s="124">
        <f>D350-F350</f>
        <v>81.874490000000037</v>
      </c>
      <c r="H350" s="124">
        <f>644.94349</f>
        <v>644.94349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91.20668</f>
        <v>91.206680000000006</v>
      </c>
      <c r="F351" s="124">
        <f>2763.37043</f>
        <v>2763.3704299999999</v>
      </c>
      <c r="G351" s="124">
        <f>D351-F351</f>
        <v>277.62957000000006</v>
      </c>
      <c r="H351" s="124">
        <f>2818.37716</f>
        <v>2818.37716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3.78662</f>
        <v>3.7866200000000001</v>
      </c>
      <c r="G352" s="124">
        <f>D352-F352</f>
        <v>6.2133799999999999</v>
      </c>
      <c r="H352" s="168">
        <f>6.93874</f>
        <v>6.9387400000000001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2.54029</f>
        <v>2.5402900000000002</v>
      </c>
      <c r="G353" s="124">
        <f>D353-F353</f>
        <v>-2.5402900000000002</v>
      </c>
      <c r="H353" s="168">
        <f>1.81523</f>
        <v>1.8152299999999999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97.377430000000004</v>
      </c>
      <c r="F354" s="190">
        <f>SUM(F350:F353)</f>
        <v>3487.8228499999996</v>
      </c>
      <c r="G354" s="190">
        <f>D354-F354</f>
        <v>363.17715000000044</v>
      </c>
      <c r="H354" s="190">
        <f>H350+H351+H352+H353</f>
        <v>3472.0746200000003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43.03295</v>
      </c>
      <c r="G380" s="253">
        <f t="shared" si="17"/>
        <v>20550.021379999998</v>
      </c>
      <c r="H380" s="253">
        <f>H384+H383+H382+H381</f>
        <v>2418.9786199999999</v>
      </c>
      <c r="I380" s="253">
        <f t="shared" si="17"/>
        <v>17758.720109999998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27.80409</f>
        <v>27.804089999999999</v>
      </c>
      <c r="G381" s="257">
        <f>13325.67144</f>
        <v>13325.67144</v>
      </c>
      <c r="H381" s="257">
        <f t="shared" ref="H381:H385" si="18">E381-G381</f>
        <v>-135.67144000000008</v>
      </c>
      <c r="I381" s="257">
        <f>10403.44768</f>
        <v>10403.447679999999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2382.55392</f>
        <v>2382.5539199999998</v>
      </c>
      <c r="H382" s="257">
        <f t="shared" si="18"/>
        <v>1050.4460800000002</v>
      </c>
      <c r="I382" s="257">
        <f>1811.41785</f>
        <v>1811.41785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13.88126</f>
        <v>13.881259999999999</v>
      </c>
      <c r="G383" s="257">
        <f>2272.65491</f>
        <v>2272.6549100000002</v>
      </c>
      <c r="H383" s="257">
        <f t="shared" si="18"/>
        <v>-789.6549100000002</v>
      </c>
      <c r="I383" s="257">
        <f>2342.58468</f>
        <v>2342.5846799999999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1.3476</f>
        <v>1.3475999999999999</v>
      </c>
      <c r="G384" s="257">
        <f>2569.14111</f>
        <v>2569.14111</v>
      </c>
      <c r="H384" s="257">
        <f t="shared" si="18"/>
        <v>2293.85889</v>
      </c>
      <c r="I384" s="257">
        <f>3201.2699</f>
        <v>3201.2698999999998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6.94</f>
        <v>6.94</v>
      </c>
      <c r="G385" s="268">
        <f>2411.01778</f>
        <v>2411.0177800000001</v>
      </c>
      <c r="H385" s="268">
        <f t="shared" si="18"/>
        <v>3088.9822199999999</v>
      </c>
      <c r="I385" s="268">
        <f>5114.46228</f>
        <v>5114.4622799999997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9.074819999999999</v>
      </c>
      <c r="G386" s="269">
        <f>G388+G387</f>
        <v>4300.3057100000005</v>
      </c>
      <c r="H386" s="269">
        <f>E386-G386</f>
        <v>3699.6942899999995</v>
      </c>
      <c r="I386" s="269">
        <f>I388+I387</f>
        <v>4923.9082099999996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0.04699</f>
        <v>4.6989999999999997E-2</v>
      </c>
      <c r="G387" s="257">
        <f>1065.87556</f>
        <v>1065.87556</v>
      </c>
      <c r="H387" s="257"/>
      <c r="I387" s="257">
        <f>886.04813</f>
        <v>886.04813000000001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9.02783</f>
        <v>9.0278299999999998</v>
      </c>
      <c r="G388" s="278">
        <f>3234.43015</f>
        <v>3234.4301500000001</v>
      </c>
      <c r="H388" s="278"/>
      <c r="I388" s="278">
        <f>4037.86008</f>
        <v>4037.8600799999999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0.0222</f>
        <v>2.2200000000000001E-2</v>
      </c>
      <c r="G390" s="268">
        <f>134.65383</f>
        <v>134.65383</v>
      </c>
      <c r="H390" s="268">
        <f>E390-G390</f>
        <v>-134.65383</v>
      </c>
      <c r="I390" s="268">
        <f>151.28093</f>
        <v>151.28093000000001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59.069969999999998</v>
      </c>
      <c r="G391" s="287">
        <f t="shared" si="19"/>
        <v>27396.155200000001</v>
      </c>
      <c r="H391" s="287">
        <f>H380+H385+H386+H389+H390</f>
        <v>9085.8448000000008</v>
      </c>
      <c r="I391" s="287">
        <f t="shared" si="19"/>
        <v>27949.120029999998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1023.2118800000001</v>
      </c>
      <c r="G413" s="85">
        <f>D413-F413</f>
        <v>-129.21188000000006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778.95308</f>
        <v>778.95308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244.2588</f>
        <v>244.25880000000001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38.083500000000001</v>
      </c>
      <c r="F416" s="26">
        <f>SUM(F417:F418)</f>
        <v>380.06484</v>
      </c>
      <c r="G416" s="85">
        <f>D416-F416</f>
        <v>513.93516</v>
      </c>
      <c r="H416" s="26">
        <f>SUM(H417:H418)</f>
        <v>418.29680000000002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33.8175</f>
        <v>33.817500000000003</v>
      </c>
      <c r="F417" s="30">
        <f>279.9555</f>
        <v>279.95549999999997</v>
      </c>
      <c r="G417" s="97"/>
      <c r="H417" s="30">
        <f>314.56</f>
        <v>314.56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4.266</f>
        <v>4.266</v>
      </c>
      <c r="F418" s="30">
        <f>100.10934</f>
        <v>100.10934</v>
      </c>
      <c r="G418" s="108"/>
      <c r="H418" s="30">
        <f>103.7368</f>
        <v>103.7368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38.083500000000001</v>
      </c>
      <c r="F423" s="40">
        <f>F413+F416+F419+F422</f>
        <v>1403.2767200000001</v>
      </c>
      <c r="G423" s="41">
        <f>D423-F423</f>
        <v>1277.7232799999999</v>
      </c>
      <c r="H423" s="40">
        <f>H413+H416+H419+H422</f>
        <v>1406.69803</v>
      </c>
      <c r="I423" s="27"/>
      <c r="J423" s="130"/>
    </row>
    <row r="424" spans="1:10" ht="42" customHeight="1" x14ac:dyDescent="0.3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51&amp;R23.12.2024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2024-12-23T10:22:07Z</dcterms:modified>
</cp:coreProperties>
</file>