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BAAD3BA7-B3D0-42AC-AA82-5E67133D8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1" i="1" l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H325" i="1"/>
  <c r="H324" i="1" s="1"/>
  <c r="F325" i="1"/>
  <c r="E325" i="1"/>
  <c r="F324" i="1"/>
  <c r="G324" i="1" s="1"/>
  <c r="E324" i="1"/>
  <c r="H323" i="1"/>
  <c r="F323" i="1"/>
  <c r="F321" i="1" s="1"/>
  <c r="E323" i="1"/>
  <c r="H322" i="1"/>
  <c r="F322" i="1"/>
  <c r="E322" i="1"/>
  <c r="H321" i="1"/>
  <c r="E321" i="1"/>
  <c r="E331" i="1" s="1"/>
  <c r="E299" i="1"/>
  <c r="D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I294" i="1"/>
  <c r="F294" i="1"/>
  <c r="I293" i="1"/>
  <c r="H293" i="1"/>
  <c r="G293" i="1"/>
  <c r="F293" i="1"/>
  <c r="I292" i="1"/>
  <c r="I288" i="1" s="1"/>
  <c r="I299" i="1" s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H288" i="1"/>
  <c r="G288" i="1"/>
  <c r="F288" i="1"/>
  <c r="F299" i="1" s="1"/>
  <c r="E288" i="1"/>
  <c r="D288" i="1"/>
  <c r="H280" i="1"/>
  <c r="F280" i="1"/>
  <c r="D262" i="1"/>
  <c r="H261" i="1"/>
  <c r="F261" i="1"/>
  <c r="E261" i="1"/>
  <c r="H260" i="1"/>
  <c r="G260" i="1"/>
  <c r="F260" i="1"/>
  <c r="E260" i="1"/>
  <c r="H259" i="1"/>
  <c r="G259" i="1"/>
  <c r="F259" i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7" i="1" s="1"/>
  <c r="G206" i="1"/>
  <c r="H205" i="1"/>
  <c r="H207" i="1" s="1"/>
  <c r="F205" i="1"/>
  <c r="G205" i="1" s="1"/>
  <c r="E205" i="1"/>
  <c r="H204" i="1"/>
  <c r="G204" i="1"/>
  <c r="F204" i="1"/>
  <c r="F207" i="1" s="1"/>
  <c r="E204" i="1"/>
  <c r="D184" i="1"/>
  <c r="H182" i="1"/>
  <c r="G182" i="1"/>
  <c r="F182" i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F177" i="1"/>
  <c r="G177" i="1" s="1"/>
  <c r="E177" i="1"/>
  <c r="H176" i="1"/>
  <c r="F176" i="1"/>
  <c r="E176" i="1"/>
  <c r="H175" i="1"/>
  <c r="G175" i="1"/>
  <c r="F175" i="1"/>
  <c r="E175" i="1"/>
  <c r="E184" i="1" s="1"/>
  <c r="D150" i="1"/>
  <c r="H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H140" i="1"/>
  <c r="H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I134" i="1"/>
  <c r="I133" i="1" s="1"/>
  <c r="G134" i="1"/>
  <c r="E134" i="1"/>
  <c r="E133" i="1" s="1"/>
  <c r="E150" i="1" s="1"/>
  <c r="I132" i="1"/>
  <c r="G132" i="1"/>
  <c r="H132" i="1" s="1"/>
  <c r="F132" i="1"/>
  <c r="H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H97" i="1"/>
  <c r="H96" i="1" s="1"/>
  <c r="H95" i="1" s="1"/>
  <c r="G97" i="1"/>
  <c r="F97" i="1"/>
  <c r="I96" i="1"/>
  <c r="I95" i="1" s="1"/>
  <c r="F96" i="1"/>
  <c r="F95" i="1" s="1"/>
  <c r="E96" i="1"/>
  <c r="D96" i="1"/>
  <c r="D95" i="1" s="1"/>
  <c r="D107" i="1" s="1"/>
  <c r="E95" i="1"/>
  <c r="I94" i="1"/>
  <c r="H94" i="1"/>
  <c r="G94" i="1"/>
  <c r="F94" i="1"/>
  <c r="I93" i="1"/>
  <c r="G93" i="1"/>
  <c r="G92" i="1" s="1"/>
  <c r="F93" i="1"/>
  <c r="F92" i="1" s="1"/>
  <c r="F107" i="1" s="1"/>
  <c r="I92" i="1"/>
  <c r="I107" i="1" s="1"/>
  <c r="E92" i="1"/>
  <c r="E107" i="1" s="1"/>
  <c r="C89" i="1"/>
  <c r="H85" i="1"/>
  <c r="F85" i="1"/>
  <c r="D85" i="1"/>
  <c r="G61" i="1"/>
  <c r="G60" i="1"/>
  <c r="H55" i="1"/>
  <c r="F55" i="1"/>
  <c r="G55" i="1" s="1"/>
  <c r="E55" i="1"/>
  <c r="F32" i="1" s="1"/>
  <c r="F27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F35" i="1"/>
  <c r="I33" i="1"/>
  <c r="G33" i="1"/>
  <c r="H33" i="1" s="1"/>
  <c r="F33" i="1"/>
  <c r="I32" i="1"/>
  <c r="H32" i="1"/>
  <c r="G32" i="1"/>
  <c r="I31" i="1"/>
  <c r="I27" i="1" s="1"/>
  <c r="G31" i="1"/>
  <c r="H31" i="1" s="1"/>
  <c r="F31" i="1"/>
  <c r="I30" i="1"/>
  <c r="H30" i="1"/>
  <c r="G30" i="1"/>
  <c r="F30" i="1"/>
  <c r="I29" i="1"/>
  <c r="G29" i="1"/>
  <c r="F29" i="1"/>
  <c r="I28" i="1"/>
  <c r="H28" i="1"/>
  <c r="G28" i="1"/>
  <c r="F28" i="1"/>
  <c r="I25" i="1"/>
  <c r="G25" i="1"/>
  <c r="H25" i="1" s="1"/>
  <c r="H23" i="1" s="1"/>
  <c r="F25" i="1"/>
  <c r="I24" i="1"/>
  <c r="H24" i="1"/>
  <c r="G24" i="1"/>
  <c r="F24" i="1"/>
  <c r="I23" i="1"/>
  <c r="G23" i="1"/>
  <c r="F23" i="1"/>
  <c r="H16" i="1"/>
  <c r="F16" i="1"/>
  <c r="D16" i="1"/>
  <c r="H134" i="1" l="1"/>
  <c r="H133" i="1" s="1"/>
  <c r="H150" i="1" s="1"/>
  <c r="G150" i="1"/>
  <c r="G133" i="1"/>
  <c r="I26" i="1"/>
  <c r="I44" i="1" s="1"/>
  <c r="G27" i="1"/>
  <c r="G34" i="1"/>
  <c r="F34" i="1"/>
  <c r="F26" i="1" s="1"/>
  <c r="F44" i="1" s="1"/>
  <c r="F184" i="1"/>
  <c r="G184" i="1" s="1"/>
  <c r="G299" i="1"/>
  <c r="H331" i="1"/>
  <c r="H299" i="1"/>
  <c r="H34" i="1"/>
  <c r="G26" i="1"/>
  <c r="G44" i="1" s="1"/>
  <c r="F150" i="1"/>
  <c r="H184" i="1"/>
  <c r="I150" i="1"/>
  <c r="F133" i="1"/>
  <c r="G321" i="1"/>
  <c r="G331" i="1" s="1"/>
  <c r="F331" i="1"/>
  <c r="G96" i="1"/>
  <c r="G95" i="1" s="1"/>
  <c r="G107" i="1" s="1"/>
  <c r="H29" i="1"/>
  <c r="H27" i="1" s="1"/>
  <c r="H35" i="1"/>
  <c r="H93" i="1"/>
  <c r="H92" i="1" s="1"/>
  <c r="H107" i="1" s="1"/>
  <c r="H26" i="1" l="1"/>
  <c r="H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<sst xmlns="http://schemas.openxmlformats.org/spreadsheetml/2006/main" count="330" uniqueCount="148">
  <si>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</si>
  <si>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</si>
  <si>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</si>
  <si>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</si>
  <si>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</si>
  <si>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</si>
  <si>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</si>
  <si>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</si>
  <si>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</si>
  <si>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</si>
  <si>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</si>
  <si>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</si>
  <si>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</si>
  <si>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</si>
  <si>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</si>
  <si>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</si>
  <si>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</si>
  <si>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</si>
  <si>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</si>
  <si>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</si>
  <si>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</si>
  <si>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</si>
  <si>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</si>
  <si>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</si>
  <si>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</si>
  <si>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</si>
  <si>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</si>
  <si>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</si>
  <si>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</si>
  <si>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</si>
  <si>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</si>
  <si>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</si>
  <si>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</si>
  <si>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</si>
  <si>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</si>
  <si>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</si>
  <si>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</si>
  <si>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</si>
  <si>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</si>
  <si>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</si>
  <si>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</si>
  <si>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</si>
  <si>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</si>
  <si>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</si>
  <si>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</si>
  <si>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</si>
  <si>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</si>
  <si>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</si>
  <si>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</si>
  <si>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</si>
  <si>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</si>
  <si>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</si>
  <si>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</si>
  <si>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</si>
  <si>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</si>
  <si>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</si>
  <si>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</si>
  <si>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</si>
  <si>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</si>
  <si>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</si>
  <si>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</si>
  <si>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</si>
  <si>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</si>
  <si>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</si>
  <si>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</si>
  <si>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</si>
  <si>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</si>
  <si>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</si>
  <si>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</si>
  <si>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</si>
  <si>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</si>
  <si>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</si>
  <si>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</si>
  <si>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</si>
  <si>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</si>
  <si>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</si>
  <si>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</si>
  <si>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</si>
  <si>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</si>
  <si>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</si>
  <si>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</si>
  <si>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</si>
  <si>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</si>
  <si>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</si>
  <si>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</si>
  <si>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</si>
  <si>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</si>
  <si>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</si>
  <si>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</si>
  <si>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</si>
  <si>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</si>
  <si>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</si>
  <si>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</si>
  <si>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</si>
  <si>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</si>
  <si>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</si>
  <si>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</si>
  <si>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</si>
  <si>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</si>
  <si>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</si>
  <si>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</si>
  <si>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</si>
  <si>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</si>
  <si>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</si>
  <si>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</si>
  <si>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</si>
  <si>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</si>
  <si>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</si>
  <si>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</si>
  <si>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</si>
  <si>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</si>
  <si>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</si>
  <si>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</si>
  <si>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</si>
  <si>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</si>
  <si>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</si>
  <si>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</si>
  <si>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</si>
  <si>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</si>
  <si>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</si>
  <si>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</si>
  <si>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</si>
  <si>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</si>
  <si>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</si>
  <si>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</si>
  <si>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</si>
  <si>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</si>
  <si>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</si>
  <si>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</si>
  <si>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</si>
  <si>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</si>
  <si>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</si>
  <si>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</si>
  <si>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</si>
  <si>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</si>
  <si>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</si>
  <si>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</si>
  <si>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</si>
  <si>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</si>
  <si>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</si>
  <si>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</si>
  <si>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23</t>
  </si>
  <si>
    <t>FANGST T.O.M UKE 23</t>
  </si>
  <si>
    <t>RESTKVOTER UKE 23</t>
  </si>
  <si>
    <t>FANGST T.O.M UKE 23 2022</t>
  </si>
  <si>
    <r>
      <t xml:space="preserve">3 </t>
    </r>
    <r>
      <rPr>
        <sz val="9"/>
        <color indexed="8"/>
        <rFont val="Calibri"/>
        <family val="2"/>
      </rPr>
      <t>Registrert rekreasjonsfiske utgjør 489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</si>
  <si>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272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</si>
  <si>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1 432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</si>
</sst>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showWhiteSpace="0" view="pageLayout" topLeftCell="A22" zoomScale="85" zoomScaleNormal="85" zoomScaleSheetLayoutView="100" zoomScalePageLayoutView="85" workbookViewId="0">
      <selection activeCell="E45" sqref="E4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138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76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139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141</v>
      </c>
      <c r="G22" s="68" t="s">
        <v>142</v>
      </c>
      <c r="H22" s="68" t="s">
        <v>143</v>
      </c>
      <c r="I22" s="68" t="s">
        <v>144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1602.45613</v>
      </c>
      <c r="G23" s="28">
        <f t="shared" si="0"/>
        <v>46343.711360000001</v>
      </c>
      <c r="H23" s="11">
        <f t="shared" si="0"/>
        <v>40483.288639999999</v>
      </c>
      <c r="I23" s="11">
        <f t="shared" si="0"/>
        <v>53658.18447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1602.12463</f>
        <v>1602.12463</v>
      </c>
      <c r="G24" s="23">
        <f>46110.30662</f>
        <v>46110.306620000003</v>
      </c>
      <c r="H24" s="23">
        <f>E24-G24</f>
        <v>39934.693379999997</v>
      </c>
      <c r="I24" s="23">
        <f>53357.977</f>
        <v>53357.976999999999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0.3315</f>
        <v>0.33150000000000002</v>
      </c>
      <c r="G25" s="23">
        <f>233.40474</f>
        <v>233.40474</v>
      </c>
      <c r="H25" s="23">
        <f>E25-G25</f>
        <v>548.59526000000005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1242.90021</v>
      </c>
      <c r="G26" s="11">
        <f t="shared" si="1"/>
        <v>162367.09442000001</v>
      </c>
      <c r="H26" s="11">
        <f t="shared" si="1"/>
        <v>35202.905580000006</v>
      </c>
      <c r="I26" s="11">
        <f t="shared" si="1"/>
        <v>197412.35700000002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538.07227</v>
      </c>
      <c r="G27" s="134">
        <f t="shared" ref="G27:I27" si="2">G28+G29+G30+G31+G32</f>
        <v>129110.83593</v>
      </c>
      <c r="H27" s="134">
        <f t="shared" si="2"/>
        <v>23540.164070000006</v>
      </c>
      <c r="I27" s="134">
        <f t="shared" si="2"/>
        <v>161950.71368000002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128.11499</f>
        <v>128.11499000000001</v>
      </c>
      <c r="G28" s="129">
        <f>35681.35584 - F57</f>
        <v>35681.355839999997</v>
      </c>
      <c r="H28" s="129">
        <f t="shared" ref="H28:H40" si="3">E28-G28</f>
        <v>3867.6441600000035</v>
      </c>
      <c r="I28" s="129">
        <f>41589.80873 - H57</f>
        <v>41589.808729999997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116.67396</f>
        <v>116.67395999999999</v>
      </c>
      <c r="G29" s="129">
        <f>36510.6856 - F58</f>
        <v>36510.685599999997</v>
      </c>
      <c r="H29" s="129">
        <f t="shared" si="3"/>
        <v>4253.3144000000029</v>
      </c>
      <c r="I29" s="129">
        <f>43864.17628 - H58</f>
        <v>43864.17628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249.21438</f>
        <v>249.21438000000001</v>
      </c>
      <c r="G30" s="129">
        <f>33920.62479 - F59</f>
        <v>33920.624790000002</v>
      </c>
      <c r="H30" s="129">
        <f t="shared" si="3"/>
        <v>3346.3752099999983</v>
      </c>
      <c r="I30" s="129">
        <f>44550.66258 - H59</f>
        <v>44550.662579999997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44.06894</f>
        <v>44.068939999999998</v>
      </c>
      <c r="G31" s="129">
        <f>22998.1697 - F60</f>
        <v>22998.169699999999</v>
      </c>
      <c r="H31" s="129">
        <f t="shared" si="3"/>
        <v>2408.8303000000014</v>
      </c>
      <c r="I31" s="129">
        <f>31946.06609 - H60</f>
        <v>31946.06609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429.05413</f>
        <v>429.05412999999999</v>
      </c>
      <c r="G33" s="134">
        <f>13672.81207</f>
        <v>13672.81207</v>
      </c>
      <c r="H33" s="134">
        <f t="shared" si="3"/>
        <v>9913.1879300000001</v>
      </c>
      <c r="I33" s="134">
        <f>15615.1185</f>
        <v>15615.1185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275.77381000000003</v>
      </c>
      <c r="G34" s="134">
        <f>G35+G36</f>
        <v>19583.44642</v>
      </c>
      <c r="H34" s="134">
        <f t="shared" si="3"/>
        <v>1749.5535799999998</v>
      </c>
      <c r="I34" s="134">
        <f>I35+I36</f>
        <v>19846.524819999999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275.77381</f>
        <v>275.77381000000003</v>
      </c>
      <c r="G35" s="134">
        <f>23484.44642 - F61 - F62</f>
        <v>19583.44642</v>
      </c>
      <c r="H35" s="129">
        <f t="shared" si="3"/>
        <v>549.55357999999978</v>
      </c>
      <c r="I35" s="129">
        <f>19878.52482 - H61 - H62</f>
        <v>19846.524819999999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312.4191</f>
        <v>312.41910000000001</v>
      </c>
      <c r="H37" s="141">
        <f t="shared" si="3"/>
        <v>2687.5808999999999</v>
      </c>
      <c r="I37" s="141">
        <f>331.39035</f>
        <v>331.39035000000001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17.99892</f>
        <v>17.998919999999998</v>
      </c>
      <c r="G38" s="100">
        <f>482.06274</f>
        <v>482.06274000000002</v>
      </c>
      <c r="H38" s="100">
        <f t="shared" si="3"/>
        <v>368.93725999999998</v>
      </c>
      <c r="I38" s="100">
        <f>444.17141</f>
        <v>444.17140999999998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106</v>
      </c>
      <c r="G39" s="100">
        <f>F61</f>
        <v>3901</v>
      </c>
      <c r="H39" s="100">
        <f t="shared" si="3"/>
        <v>-853</v>
      </c>
      <c r="I39" s="100">
        <f>H61</f>
        <v>32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7.40851</f>
        <v>7.4085099999999997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2976.7667700000002</v>
      </c>
      <c r="G44" s="78">
        <f t="shared" si="4"/>
        <v>220485.84862</v>
      </c>
      <c r="H44" s="78">
        <f t="shared" si="4"/>
        <v>78210.151379999981</v>
      </c>
      <c r="I44" s="78">
        <f t="shared" si="4"/>
        <v>258999.04166000002</v>
      </c>
      <c r="J44" s="242"/>
    </row>
    <row r="45" spans="1:13" ht="14.1" customHeight="1" x14ac:dyDescent="0.25">
      <c r="A45" s="101"/>
      <c r="B45" s="24"/>
      <c r="C45" s="80" t="s">
        <v>130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129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141</v>
      </c>
      <c r="F54" s="68" t="s">
        <v>142</v>
      </c>
      <c r="G54" s="68" t="s">
        <v>143</v>
      </c>
      <c r="H54" s="68" t="s">
        <v>144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106</v>
      </c>
      <c r="F61" s="141">
        <v>3901</v>
      </c>
      <c r="G61" s="141">
        <f>D61-F61</f>
        <v>-901</v>
      </c>
      <c r="H61" s="141">
        <v>32</v>
      </c>
      <c r="I61" s="256"/>
      <c r="J61" s="242"/>
    </row>
    <row r="62" spans="1:10" ht="14.1" customHeight="1" x14ac:dyDescent="0.25">
      <c r="A62" s="101"/>
      <c r="B62" s="24"/>
      <c r="C62" s="80" t="s">
        <v>126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121</v>
      </c>
      <c r="C68" s="286"/>
      <c r="D68" s="121"/>
      <c r="E68" s="121"/>
      <c r="F68" s="121"/>
      <c r="G68" s="121"/>
      <c r="H68" s="1"/>
      <c r="I68" s="1"/>
      <c r="J68" s="1"/>
    </row>
    <row r="77" spans="1:10" ht="40.5" customHeight="1" x14ac:dyDescent="0.25"/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76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140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141</v>
      </c>
      <c r="G91" s="15" t="s">
        <v>142</v>
      </c>
      <c r="H91" s="15" t="s">
        <v>143</v>
      </c>
      <c r="I91" s="15" t="s">
        <v>144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118.05666000000001</v>
      </c>
      <c r="G92" s="11">
        <f t="shared" si="5"/>
        <v>38540.97623</v>
      </c>
      <c r="H92" s="11">
        <f t="shared" si="5"/>
        <v>-3741.9762299999993</v>
      </c>
      <c r="I92" s="11">
        <f t="shared" si="5"/>
        <v>34597.158779999998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116.40326</f>
        <v>116.40326</v>
      </c>
      <c r="G93" s="23">
        <f>38046.99729</f>
        <v>38046.997289999999</v>
      </c>
      <c r="H93" s="23">
        <f>E93-G93</f>
        <v>-4059.9972899999993</v>
      </c>
      <c r="I93" s="23">
        <f>33947.63011</f>
        <v>33947.630109999998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1.6534</f>
        <v>1.6534</v>
      </c>
      <c r="G94" s="52">
        <f>493.97894</f>
        <v>493.97894000000002</v>
      </c>
      <c r="H94" s="52">
        <f>E94-G94</f>
        <v>318.02105999999998</v>
      </c>
      <c r="I94" s="52">
        <f>649.52867</f>
        <v>649.52867000000003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1127.5090500000001</v>
      </c>
      <c r="G95" s="11">
        <f t="shared" si="6"/>
        <v>19378.802200000002</v>
      </c>
      <c r="H95" s="11">
        <f t="shared" si="6"/>
        <v>40121.197800000002</v>
      </c>
      <c r="I95" s="11">
        <f t="shared" si="6"/>
        <v>23992.884330000001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683.45586000000003</v>
      </c>
      <c r="G96" s="134">
        <f t="shared" si="7"/>
        <v>13347.45932</v>
      </c>
      <c r="H96" s="134">
        <f t="shared" si="7"/>
        <v>31143.540680000002</v>
      </c>
      <c r="I96" s="134">
        <f t="shared" si="7"/>
        <v>18581.88697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57.23172</f>
        <v>57.231720000000003</v>
      </c>
      <c r="G97" s="129">
        <f>2265.57116</f>
        <v>2265.57116</v>
      </c>
      <c r="H97" s="129">
        <f t="shared" ref="H97:H104" si="8">E97-G97</f>
        <v>9618.1288400000012</v>
      </c>
      <c r="I97" s="129">
        <f>2360.63697</f>
        <v>2360.63697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230.23186</f>
        <v>230.23186000000001</v>
      </c>
      <c r="G98" s="129">
        <f>4249.87119</f>
        <v>4249.8711899999998</v>
      </c>
      <c r="H98" s="129">
        <f t="shared" si="8"/>
        <v>8415.2288100000005</v>
      </c>
      <c r="I98" s="129">
        <f>6209.68635</f>
        <v>6209.6863499999999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241.923</f>
        <v>241.923</v>
      </c>
      <c r="G99" s="129">
        <f>3555.8926</f>
        <v>3555.8926000000001</v>
      </c>
      <c r="H99" s="129">
        <f t="shared" si="8"/>
        <v>8409.7073999999993</v>
      </c>
      <c r="I99" s="129">
        <f>5384.41263</f>
        <v>5384.4126299999998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154.06928</f>
        <v>154.06927999999999</v>
      </c>
      <c r="G100" s="129">
        <f>3276.12437</f>
        <v>3276.12437</v>
      </c>
      <c r="H100" s="129">
        <f t="shared" si="8"/>
        <v>4700.4756300000008</v>
      </c>
      <c r="I100" s="129">
        <f>4627.15102</f>
        <v>4627.1510200000002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424.86247</f>
        <v>424.86246999999997</v>
      </c>
      <c r="G101" s="134">
        <f>4904.66205</f>
        <v>4904.6620499999999</v>
      </c>
      <c r="H101" s="134">
        <f t="shared" si="8"/>
        <v>5486.3379500000001</v>
      </c>
      <c r="I101" s="134">
        <f>4485.6436</f>
        <v>4485.6436000000003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19.19072</f>
        <v>19.190719999999999</v>
      </c>
      <c r="G102" s="77">
        <f>1126.68083</f>
        <v>1126.68083</v>
      </c>
      <c r="H102" s="77">
        <f t="shared" si="8"/>
        <v>3491.3191699999998</v>
      </c>
      <c r="I102" s="77">
        <f>925.35376</f>
        <v>925.35375999999997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0.24195</f>
        <v>0.24195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1245.8076600000002</v>
      </c>
      <c r="G107" s="78">
        <f t="shared" si="9"/>
        <v>58239.794899999994</v>
      </c>
      <c r="H107" s="78">
        <f t="shared" si="9"/>
        <v>36729.205100000014</v>
      </c>
      <c r="I107" s="78">
        <f t="shared" si="9"/>
        <v>58955.772720000001</v>
      </c>
      <c r="J107" s="242"/>
    </row>
    <row r="108" spans="1:10" ht="13.5" customHeight="1" x14ac:dyDescent="0.25">
      <c r="A108" s="1"/>
      <c r="B108" s="252"/>
      <c r="C108" s="80" t="s">
        <v>128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57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127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58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121</v>
      </c>
      <c r="D113" s="226"/>
      <c r="E113" s="226"/>
      <c r="F113" s="226"/>
      <c r="G113" s="226"/>
      <c r="H113" s="226"/>
      <c r="I113" s="101"/>
      <c r="J113" s="101" t="s">
        <v>121</v>
      </c>
    </row>
    <row r="114" spans="1:10" ht="14.25" customHeight="1" x14ac:dyDescent="0.25">
      <c r="A114" s="1"/>
      <c r="B114" s="101"/>
      <c r="C114" s="101" t="s">
        <v>121</v>
      </c>
      <c r="D114" s="101" t="s">
        <v>121</v>
      </c>
      <c r="E114" s="101"/>
      <c r="F114" s="101"/>
      <c r="G114" s="101"/>
      <c r="H114" s="101"/>
      <c r="I114" s="101"/>
      <c r="J114" s="101" t="s">
        <v>121</v>
      </c>
    </row>
    <row r="115" spans="1:10" ht="17.100000000000001" customHeight="1" x14ac:dyDescent="0.25">
      <c r="A115" s="216"/>
      <c r="B115" s="216"/>
      <c r="C115" s="217" t="s">
        <v>59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60</v>
      </c>
      <c r="D121" s="119">
        <v>2150</v>
      </c>
      <c r="E121" s="117" t="s">
        <v>61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62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131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63</v>
      </c>
      <c r="F127" s="15" t="s">
        <v>141</v>
      </c>
      <c r="G127" s="15" t="s">
        <v>142</v>
      </c>
      <c r="H127" s="15" t="s">
        <v>143</v>
      </c>
      <c r="I127" s="15" t="s">
        <v>144</v>
      </c>
      <c r="J127" s="278"/>
    </row>
    <row r="128" spans="1:10" ht="14.1" customHeight="1" x14ac:dyDescent="0.25">
      <c r="A128" s="1"/>
      <c r="B128" s="252"/>
      <c r="C128" s="16" t="s">
        <v>64</v>
      </c>
      <c r="D128" s="28">
        <v>77128</v>
      </c>
      <c r="E128" s="28">
        <f t="shared" ref="E128:I128" si="10">E129+E130+E131</f>
        <v>70541</v>
      </c>
      <c r="F128" s="11">
        <f t="shared" si="10"/>
        <v>1389.7396799999999</v>
      </c>
      <c r="G128" s="11">
        <f t="shared" si="10"/>
        <v>36283.280839999999</v>
      </c>
      <c r="H128" s="11">
        <f t="shared" si="10"/>
        <v>34257.719160000001</v>
      </c>
      <c r="I128" s="11">
        <f t="shared" si="10"/>
        <v>35959.896059999999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1374.69528</f>
        <v>1374.6952799999999</v>
      </c>
      <c r="G129" s="23">
        <f>31733.67726</f>
        <v>31733.67726</v>
      </c>
      <c r="H129" s="23">
        <f>E129-G129</f>
        <v>24358.32274</v>
      </c>
      <c r="I129" s="23">
        <f>30221.7904</f>
        <v>30221.790400000002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15.0444</f>
        <v>15.0444</v>
      </c>
      <c r="G130" s="23">
        <f>4549.60358</f>
        <v>4549.60358</v>
      </c>
      <c r="H130" s="23">
        <f>E130-G130</f>
        <v>9399.3964200000009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65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66</v>
      </c>
      <c r="D132" s="93">
        <v>52113</v>
      </c>
      <c r="E132" s="93">
        <v>49172</v>
      </c>
      <c r="F132" s="97">
        <f>4427.60272</f>
        <v>4427.6027199999999</v>
      </c>
      <c r="G132" s="97">
        <f>13594.81009</f>
        <v>13594.810090000001</v>
      </c>
      <c r="H132" s="97">
        <f>E132-G132</f>
        <v>35577.189910000001</v>
      </c>
      <c r="I132" s="97">
        <f>15685.36286</f>
        <v>15685.362859999999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1148.1530299999999</v>
      </c>
      <c r="G133" s="96">
        <f t="shared" ref="G133" si="11">G134+G139+G142</f>
        <v>44490.968934999997</v>
      </c>
      <c r="H133" s="96">
        <f>H134+H139+H142</f>
        <v>36449.031064999996</v>
      </c>
      <c r="I133" s="96">
        <f>I134+I139+I142</f>
        <v>42018.196559999997</v>
      </c>
      <c r="J133" s="122"/>
    </row>
    <row r="134" spans="1:10" ht="14.1" customHeight="1" x14ac:dyDescent="0.25">
      <c r="A134" s="1"/>
      <c r="B134" s="54"/>
      <c r="C134" s="123" t="s">
        <v>67</v>
      </c>
      <c r="D134" s="125">
        <v>60918</v>
      </c>
      <c r="E134" s="125">
        <f>E135+E136+E137+E138</f>
        <v>59504</v>
      </c>
      <c r="F134" s="127">
        <f>F135+F136+F137+F138</f>
        <v>795.88748999999996</v>
      </c>
      <c r="G134" s="127">
        <f>G135+G136+G138+G137</f>
        <v>34744.942154999997</v>
      </c>
      <c r="H134" s="127">
        <f>H135+H136+H137+H138</f>
        <v>24759.057844999996</v>
      </c>
      <c r="I134" s="127">
        <f>I135+I136+I137+I138</f>
        <v>32998.285369999998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127.93697</f>
        <v>127.93697</v>
      </c>
      <c r="G135" s="129">
        <v>5735.0379300000004</v>
      </c>
      <c r="H135" s="129">
        <f>E135-G135</f>
        <v>11768.96207</v>
      </c>
      <c r="I135" s="129">
        <f>4718.9971</f>
        <v>4718.9970999999996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74.26895</f>
        <v>74.268950000000004</v>
      </c>
      <c r="G136" s="129">
        <v>10063.75452</v>
      </c>
      <c r="H136" s="129">
        <f>E136-G136</f>
        <v>5020.2454799999996</v>
      </c>
      <c r="I136" s="129">
        <f>8009.48518</f>
        <v>8009.4851799999997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430.82452</f>
        <v>430.82452000000001</v>
      </c>
      <c r="G137" s="129">
        <v>9544.0078600000015</v>
      </c>
      <c r="H137" s="129">
        <f>E137-G137</f>
        <v>5478.9921399999985</v>
      </c>
      <c r="I137" s="129">
        <f>10213.55694</f>
        <v>10213.55694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162.85705</f>
        <v>162.85704999999999</v>
      </c>
      <c r="G138" s="129">
        <v>9402.1418450000001</v>
      </c>
      <c r="H138" s="129">
        <f>E138-G138</f>
        <v>2490.8581549999999</v>
      </c>
      <c r="I138" s="129">
        <f>10056.24615</f>
        <v>10056.246150000001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168.93536</v>
      </c>
      <c r="G139" s="134">
        <f>SUM(G140:G141)</f>
        <v>6348.0608900000007</v>
      </c>
      <c r="H139" s="134">
        <f>H140+H141</f>
        <v>3083.9391099999998</v>
      </c>
      <c r="I139" s="134">
        <f>SUM(I140:I141)</f>
        <v>5855.7141099999999</v>
      </c>
      <c r="J139" s="136"/>
    </row>
    <row r="140" spans="1:10" ht="14.1" customHeight="1" x14ac:dyDescent="0.25">
      <c r="A140" s="1"/>
      <c r="B140" s="252"/>
      <c r="C140" s="64" t="s">
        <v>68</v>
      </c>
      <c r="D140" s="65">
        <v>8213</v>
      </c>
      <c r="E140" s="65">
        <v>8932</v>
      </c>
      <c r="F140" s="129">
        <f>165.71184</f>
        <v>165.71184</v>
      </c>
      <c r="G140" s="129">
        <f>6217.50031</f>
        <v>6217.5003100000004</v>
      </c>
      <c r="H140" s="129">
        <f t="shared" ref="H140:H147" si="12">E140-G140</f>
        <v>2714.4996899999996</v>
      </c>
      <c r="I140" s="129">
        <f>5741.33447</f>
        <v>5741.3344699999998</v>
      </c>
      <c r="J140" s="122"/>
    </row>
    <row r="141" spans="1:10" ht="15" customHeight="1" x14ac:dyDescent="0.25">
      <c r="A141" s="1"/>
      <c r="B141" s="55"/>
      <c r="C141" s="64" t="s">
        <v>69</v>
      </c>
      <c r="D141" s="65">
        <v>500</v>
      </c>
      <c r="E141" s="65">
        <v>500</v>
      </c>
      <c r="F141" s="129">
        <f>3.22352</f>
        <v>3.2235200000000002</v>
      </c>
      <c r="G141" s="129">
        <f>130.56058</f>
        <v>130.56057999999999</v>
      </c>
      <c r="H141" s="129">
        <f t="shared" si="12"/>
        <v>369.43942000000004</v>
      </c>
      <c r="I141" s="129">
        <f>114.37964</f>
        <v>114.37963999999999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183.33018</f>
        <v>183.33018000000001</v>
      </c>
      <c r="G142" s="77">
        <f>3397.96589</f>
        <v>3397.9658899999999</v>
      </c>
      <c r="H142" s="77">
        <f t="shared" si="12"/>
        <v>8606.0341100000005</v>
      </c>
      <c r="I142" s="77">
        <f>3164.19708</f>
        <v>3164.1970799999999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3</f>
        <v>3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70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184.58</f>
        <v>184.58</v>
      </c>
      <c r="J144" s="122"/>
    </row>
    <row r="145" spans="1:10" ht="18" customHeight="1" x14ac:dyDescent="0.25">
      <c r="A145" s="1"/>
      <c r="B145" s="252"/>
      <c r="C145" s="142" t="s">
        <v>71</v>
      </c>
      <c r="D145" s="145">
        <v>2000</v>
      </c>
      <c r="E145" s="145">
        <v>2000</v>
      </c>
      <c r="F145" s="141">
        <f>15.40981</f>
        <v>15.40981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72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6983.9052399999991</v>
      </c>
      <c r="G150" s="78">
        <f>G128+G132+G133+G143+G144+G145+G146+G147+G148</f>
        <v>96662.001864999998</v>
      </c>
      <c r="H150" s="78">
        <f>H128+H132+H133+H143+H144+H145+H146+H147+H148</f>
        <v>106572.99813499997</v>
      </c>
      <c r="I150" s="78">
        <f>I128+I132+I133+I143+I144+I145+I146+I147+I148</f>
        <v>95869.58600000001</v>
      </c>
      <c r="J150" s="162"/>
    </row>
    <row r="151" spans="1:10" ht="14.25" customHeight="1" x14ac:dyDescent="0.25">
      <c r="A151" s="159"/>
      <c r="B151" s="54"/>
      <c r="C151" s="163" t="s">
        <v>73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132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74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133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x14ac:dyDescent="0.25">
      <c r="A162" s="1" t="s">
        <v>121</v>
      </c>
      <c r="B162" s="2"/>
      <c r="C162" s="217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121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121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76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141</v>
      </c>
      <c r="F174" s="15" t="s">
        <v>142</v>
      </c>
      <c r="G174" s="56" t="s">
        <v>143</v>
      </c>
      <c r="H174" s="15" t="s">
        <v>144</v>
      </c>
      <c r="I174" s="159"/>
      <c r="J174" s="278"/>
    </row>
    <row r="175" spans="1:10" ht="14.1" customHeight="1" x14ac:dyDescent="0.25">
      <c r="A175" s="1"/>
      <c r="B175" s="252"/>
      <c r="C175" s="143" t="s">
        <v>77</v>
      </c>
      <c r="D175" s="96">
        <v>4988</v>
      </c>
      <c r="E175" s="274">
        <f>77.66726</f>
        <v>77.667259999999999</v>
      </c>
      <c r="F175" s="274">
        <f>868.11502</f>
        <v>868.11501999999996</v>
      </c>
      <c r="G175" s="45">
        <f>D175-F175-F176</f>
        <v>3430.9011599999999</v>
      </c>
      <c r="H175" s="274">
        <f>583.00762</f>
        <v>583.00761999999997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88.56558</f>
        <v>88.565579999999997</v>
      </c>
      <c r="F176" s="154">
        <f>688.98382</f>
        <v>688.98382000000004</v>
      </c>
      <c r="G176" s="215"/>
      <c r="H176" s="154">
        <f>951.27264</f>
        <v>951.27264000000002</v>
      </c>
      <c r="I176" s="1"/>
      <c r="J176" s="122"/>
    </row>
    <row r="177" spans="1:10" ht="15.6" customHeight="1" x14ac:dyDescent="0.25">
      <c r="A177" s="1"/>
      <c r="B177" s="252"/>
      <c r="C177" s="171" t="s">
        <v>78</v>
      </c>
      <c r="D177" s="100">
        <v>200</v>
      </c>
      <c r="E177" s="174">
        <f>0.72854</f>
        <v>0.72853999999999997</v>
      </c>
      <c r="F177" s="174">
        <f>55.41002</f>
        <v>55.410020000000003</v>
      </c>
      <c r="G177" s="174">
        <f>D177-F177</f>
        <v>144.58998</v>
      </c>
      <c r="H177" s="174">
        <f>48.09946</f>
        <v>48.099460000000001</v>
      </c>
      <c r="I177" s="1"/>
      <c r="J177" s="122"/>
    </row>
    <row r="178" spans="1:10" ht="14.1" customHeight="1" x14ac:dyDescent="0.25">
      <c r="A178" s="70"/>
      <c r="B178" s="81"/>
      <c r="C178" s="182" t="s">
        <v>79</v>
      </c>
      <c r="D178" s="183">
        <v>7481</v>
      </c>
      <c r="E178" s="183">
        <f>E179+E180+E181</f>
        <v>2626.9789599999999</v>
      </c>
      <c r="F178" s="183">
        <f>F179+F180+F181</f>
        <v>4219.32827</v>
      </c>
      <c r="G178" s="183">
        <f>D178-F178</f>
        <v>3261.67173</v>
      </c>
      <c r="H178" s="183">
        <f>H179+H180+H181</f>
        <v>4104.1861600000002</v>
      </c>
      <c r="I178" s="70"/>
      <c r="J178" s="118"/>
    </row>
    <row r="179" spans="1:10" ht="14.1" customHeight="1" x14ac:dyDescent="0.25">
      <c r="A179" s="199"/>
      <c r="B179" s="184"/>
      <c r="C179" s="185" t="s">
        <v>80</v>
      </c>
      <c r="D179" s="129"/>
      <c r="E179" s="129">
        <f>1361.22872</f>
        <v>1361.2287200000001</v>
      </c>
      <c r="F179" s="129">
        <f>1995.88471</f>
        <v>1995.88471</v>
      </c>
      <c r="G179" s="129"/>
      <c r="H179" s="129">
        <f>1948.9989</f>
        <v>1948.9989</v>
      </c>
      <c r="I179" s="188"/>
      <c r="J179" s="131"/>
    </row>
    <row r="180" spans="1:10" ht="14.1" customHeight="1" x14ac:dyDescent="0.25">
      <c r="A180" s="199"/>
      <c r="B180" s="184"/>
      <c r="C180" s="185" t="s">
        <v>81</v>
      </c>
      <c r="D180" s="129"/>
      <c r="E180" s="129">
        <f>768.05948</f>
        <v>768.05948000000001</v>
      </c>
      <c r="F180" s="129">
        <f>1381.3197</f>
        <v>1381.3197</v>
      </c>
      <c r="G180" s="129"/>
      <c r="H180" s="129">
        <f>1290.53821</f>
        <v>1290.5382099999999</v>
      </c>
      <c r="I180" s="188"/>
      <c r="J180" s="189"/>
    </row>
    <row r="181" spans="1:10" ht="14.1" customHeight="1" x14ac:dyDescent="0.25">
      <c r="A181" s="199"/>
      <c r="B181" s="184"/>
      <c r="C181" s="191" t="s">
        <v>82</v>
      </c>
      <c r="D181" s="194"/>
      <c r="E181" s="194">
        <f>497.69076</f>
        <v>497.69076000000001</v>
      </c>
      <c r="F181" s="194">
        <f>842.12386</f>
        <v>842.12386000000004</v>
      </c>
      <c r="G181" s="194"/>
      <c r="H181" s="194">
        <f>864.64905</f>
        <v>864.64904999999999</v>
      </c>
      <c r="I181" s="188"/>
      <c r="J181" s="189"/>
    </row>
    <row r="182" spans="1:10" ht="14.1" customHeight="1" x14ac:dyDescent="0.25">
      <c r="A182" s="1"/>
      <c r="B182" s="252"/>
      <c r="C182" s="75" t="s">
        <v>83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84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2793.9403400000001</v>
      </c>
      <c r="F184" s="196">
        <f>F175+F176+F177+F178+F182+F183</f>
        <v>5831.8371299999999</v>
      </c>
      <c r="G184" s="196">
        <f>D184-F184</f>
        <v>6903.1628700000001</v>
      </c>
      <c r="H184" s="196">
        <f>H175+H176+H177+H178+H182+H183</f>
        <v>5686.5658800000001</v>
      </c>
      <c r="I184" s="165"/>
      <c r="J184" s="162"/>
    </row>
    <row r="185" spans="1:10" ht="42" customHeight="1" x14ac:dyDescent="0.25">
      <c r="A185" s="1"/>
      <c r="B185" s="200"/>
      <c r="C185" s="225" t="s">
        <v>134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121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121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85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121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86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87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88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135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136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137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141</v>
      </c>
      <c r="F203" s="68" t="s">
        <v>142</v>
      </c>
      <c r="G203" s="68" t="s">
        <v>143</v>
      </c>
      <c r="H203" s="68" t="s">
        <v>144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8047.45721</f>
        <v>8047.4572099999996</v>
      </c>
      <c r="F204" s="124">
        <f>26888.53562</f>
        <v>26888.535619999999</v>
      </c>
      <c r="G204" s="124">
        <f>D204-F204</f>
        <v>16950.464380000001</v>
      </c>
      <c r="H204" s="124">
        <f>19489.51809</f>
        <v>19489.518090000001</v>
      </c>
      <c r="I204" s="246"/>
      <c r="J204" s="122"/>
    </row>
    <row r="205" spans="1:10" ht="15" customHeight="1" x14ac:dyDescent="0.25">
      <c r="A205" s="1"/>
      <c r="B205" s="252"/>
      <c r="C205" s="90" t="s">
        <v>69</v>
      </c>
      <c r="D205" s="124">
        <v>100</v>
      </c>
      <c r="E205" s="124">
        <f>10.24142</f>
        <v>10.24142</v>
      </c>
      <c r="F205" s="124">
        <f>15.55379</f>
        <v>15.553789999999999</v>
      </c>
      <c r="G205" s="124">
        <f>D205-F205</f>
        <v>84.446210000000008</v>
      </c>
      <c r="H205" s="124">
        <f>20.85088</f>
        <v>20.85088</v>
      </c>
      <c r="I205" s="246"/>
      <c r="J205" s="122"/>
    </row>
    <row r="206" spans="1:10" ht="15.75" customHeight="1" x14ac:dyDescent="0.25">
      <c r="A206" s="1"/>
      <c r="B206" s="252"/>
      <c r="C206" s="146" t="s">
        <v>83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89</v>
      </c>
      <c r="D207" s="190">
        <f>SUM(D204:D206)</f>
        <v>43981</v>
      </c>
      <c r="E207" s="190">
        <f>SUM(E204:E206)</f>
        <v>8057.6986299999999</v>
      </c>
      <c r="F207" s="190">
        <f>SUM(F204:F206)</f>
        <v>26904.08941</v>
      </c>
      <c r="G207" s="190">
        <f>D207-F207</f>
        <v>17076.91059</v>
      </c>
      <c r="H207" s="190">
        <f>SUM(H204:H206)</f>
        <v>19510.368970000003</v>
      </c>
      <c r="I207" s="246"/>
      <c r="J207" s="122"/>
    </row>
    <row r="208" spans="1:10" ht="17.100000000000001" customHeight="1" x14ac:dyDescent="0.25">
      <c r="A208" s="1"/>
      <c r="B208" s="166"/>
      <c r="C208" s="201" t="s">
        <v>90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121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91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121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86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92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93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76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94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95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96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141</v>
      </c>
      <c r="F257" s="68" t="s">
        <v>142</v>
      </c>
      <c r="G257" s="68" t="s">
        <v>143</v>
      </c>
      <c r="H257" s="68" t="s">
        <v>144</v>
      </c>
      <c r="I257" s="1"/>
      <c r="J257" s="118"/>
    </row>
    <row r="258" spans="1:10" ht="14.1" customHeight="1" x14ac:dyDescent="0.25">
      <c r="A258" s="70"/>
      <c r="B258" s="81"/>
      <c r="C258" s="90" t="s">
        <v>97</v>
      </c>
      <c r="D258" s="124">
        <v>800</v>
      </c>
      <c r="E258" s="124">
        <f>17.93174</f>
        <v>17.931740000000001</v>
      </c>
      <c r="F258" s="124">
        <f>232.77733</f>
        <v>232.77733000000001</v>
      </c>
      <c r="G258" s="124">
        <f>D258-F258</f>
        <v>567.22266999999999</v>
      </c>
      <c r="H258" s="124">
        <f>141.04801</f>
        <v>141.04801</v>
      </c>
      <c r="I258" s="70"/>
      <c r="J258" s="242"/>
    </row>
    <row r="259" spans="1:10" ht="14.1" customHeight="1" x14ac:dyDescent="0.25">
      <c r="A259" s="1"/>
      <c r="B259" s="252"/>
      <c r="C259" s="90" t="s">
        <v>98</v>
      </c>
      <c r="D259" s="244">
        <v>2494</v>
      </c>
      <c r="E259" s="124">
        <f>56.23646</f>
        <v>56.236460000000001</v>
      </c>
      <c r="F259" s="124">
        <f>632.24148</f>
        <v>632.24148000000002</v>
      </c>
      <c r="G259" s="124">
        <f>D259-F259</f>
        <v>1861.7585199999999</v>
      </c>
      <c r="H259" s="124">
        <f>465.39702</f>
        <v>465.39702</v>
      </c>
      <c r="I259" s="181"/>
      <c r="J259" s="118"/>
    </row>
    <row r="260" spans="1:10" ht="16.5" customHeight="1" x14ac:dyDescent="0.25">
      <c r="A260" s="70"/>
      <c r="B260" s="81"/>
      <c r="C260" s="146" t="s">
        <v>83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99</v>
      </c>
      <c r="D261" s="220"/>
      <c r="E261" s="168">
        <f>0.016</f>
        <v>1.6E-2</v>
      </c>
      <c r="F261" s="168">
        <f>1.64224</f>
        <v>1.6422399999999999</v>
      </c>
      <c r="G261" s="124"/>
      <c r="H261" s="168">
        <f>3.0945</f>
        <v>3.0945</v>
      </c>
      <c r="I261" s="282"/>
      <c r="J261" s="122"/>
    </row>
    <row r="262" spans="1:10" ht="14.1" customHeight="1" x14ac:dyDescent="0.25">
      <c r="A262" s="1"/>
      <c r="B262" s="252"/>
      <c r="C262" s="179" t="s">
        <v>89</v>
      </c>
      <c r="D262" s="6">
        <f>D247</f>
        <v>3299</v>
      </c>
      <c r="E262" s="190">
        <f>SUM(E258:E261)</f>
        <v>74.184200000000004</v>
      </c>
      <c r="F262" s="190">
        <f>SUM(F258:F261)</f>
        <v>867.2962500000001</v>
      </c>
      <c r="G262" s="190">
        <f>D262-F262</f>
        <v>2431.7037499999997</v>
      </c>
      <c r="H262" s="190">
        <f>H258+H259+H260+H261</f>
        <v>610.45643000000007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121</v>
      </c>
    </row>
    <row r="266" spans="1:10" ht="14.1" customHeight="1" x14ac:dyDescent="0.25">
      <c r="A266" s="1" t="s">
        <v>121</v>
      </c>
    </row>
    <row r="267" spans="1:10" ht="14.1" customHeight="1" x14ac:dyDescent="0.25">
      <c r="A267" s="1" t="s">
        <v>121</v>
      </c>
    </row>
    <row r="268" spans="1:10" ht="14.1" customHeight="1" x14ac:dyDescent="0.25">
      <c r="A268" s="1"/>
      <c r="C268" s="152" t="s">
        <v>121</v>
      </c>
    </row>
    <row r="269" spans="1:10" x14ac:dyDescent="0.25">
      <c r="A269" s="1"/>
      <c r="C269" s="152" t="s">
        <v>121</v>
      </c>
    </row>
    <row r="270" spans="1:10" ht="14.1" customHeight="1" x14ac:dyDescent="0.25">
      <c r="A270" s="1"/>
      <c r="C270" s="152" t="s">
        <v>121</v>
      </c>
    </row>
    <row r="271" spans="1:10" ht="14.1" customHeight="1" x14ac:dyDescent="0.25">
      <c r="A271" s="1"/>
      <c r="C271" s="152" t="s">
        <v>121</v>
      </c>
    </row>
    <row r="272" spans="1:10" ht="30" customHeight="1" x14ac:dyDescent="0.35">
      <c r="A272" s="216"/>
      <c r="B272" s="1"/>
      <c r="C272" s="213" t="s">
        <v>100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101</v>
      </c>
      <c r="F275" s="187"/>
      <c r="G275" s="151" t="s">
        <v>102</v>
      </c>
      <c r="H275" s="187"/>
      <c r="I275" s="152"/>
      <c r="J275" s="132"/>
    </row>
    <row r="276" spans="1:10" ht="14.25" customHeight="1" x14ac:dyDescent="0.25">
      <c r="B276" s="74"/>
      <c r="C276" s="257" t="s">
        <v>86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93</v>
      </c>
      <c r="D277" s="46">
        <v>19433</v>
      </c>
      <c r="E277" s="181" t="s">
        <v>98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92</v>
      </c>
      <c r="D278" s="46">
        <v>6186</v>
      </c>
      <c r="E278" s="181" t="s">
        <v>61</v>
      </c>
      <c r="F278" s="49">
        <v>5500</v>
      </c>
      <c r="G278" s="246" t="s">
        <v>103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104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105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122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106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107</v>
      </c>
      <c r="F287" s="221" t="s">
        <v>141</v>
      </c>
      <c r="G287" s="221" t="s">
        <v>142</v>
      </c>
      <c r="H287" s="221" t="s">
        <v>143</v>
      </c>
      <c r="I287" s="221" t="s">
        <v>144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383.73660000000001</v>
      </c>
      <c r="G288" s="251">
        <f t="shared" si="14"/>
        <v>4849.0067200000003</v>
      </c>
      <c r="H288" s="251">
        <f>H292+H291+H290+H289</f>
        <v>11252.993279999999</v>
      </c>
      <c r="I288" s="251">
        <f t="shared" si="14"/>
        <v>2732.90888</v>
      </c>
      <c r="J288" s="132"/>
    </row>
    <row r="289" spans="1:10" ht="14.1" customHeight="1" x14ac:dyDescent="0.25">
      <c r="A289" s="216"/>
      <c r="B289" s="74"/>
      <c r="C289" s="253" t="s">
        <v>108</v>
      </c>
      <c r="D289" s="254">
        <v>6472</v>
      </c>
      <c r="E289" s="254">
        <v>8177</v>
      </c>
      <c r="F289" s="255">
        <f>0</f>
        <v>0</v>
      </c>
      <c r="G289" s="255">
        <f>2008.18667</f>
        <v>2008.18667</v>
      </c>
      <c r="H289" s="255">
        <f t="shared" ref="H289:H293" si="15">E289-G289</f>
        <v>6168.81333</v>
      </c>
      <c r="I289" s="255">
        <f>1302.50178</f>
        <v>1302.5017800000001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41.2506</f>
        <v>41.250599999999999</v>
      </c>
      <c r="G290" s="255">
        <f>806.0337</f>
        <v>806.03369999999995</v>
      </c>
      <c r="H290" s="255">
        <f t="shared" si="15"/>
        <v>1321.9663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104</v>
      </c>
      <c r="D291" s="254">
        <v>1313</v>
      </c>
      <c r="E291" s="254">
        <v>1357</v>
      </c>
      <c r="F291" s="255">
        <f>40.1508</f>
        <v>40.150799999999997</v>
      </c>
      <c r="G291" s="255">
        <f>1219.47565</f>
        <v>1219.4756500000001</v>
      </c>
      <c r="H291" s="255">
        <f t="shared" si="15"/>
        <v>137.52434999999991</v>
      </c>
      <c r="I291" s="255">
        <f>870.0319</f>
        <v>870.03189999999995</v>
      </c>
      <c r="J291" s="132"/>
    </row>
    <row r="292" spans="1:10" ht="14.1" customHeight="1" x14ac:dyDescent="0.25">
      <c r="A292" s="216"/>
      <c r="B292" s="74"/>
      <c r="C292" s="260" t="s">
        <v>109</v>
      </c>
      <c r="D292" s="261">
        <v>4296</v>
      </c>
      <c r="E292" s="261">
        <v>4440</v>
      </c>
      <c r="F292" s="255">
        <f>302.3352</f>
        <v>302.33519999999999</v>
      </c>
      <c r="G292" s="255">
        <f>815.3107</f>
        <v>815.3107</v>
      </c>
      <c r="H292" s="255">
        <f t="shared" si="15"/>
        <v>3624.6893</v>
      </c>
      <c r="I292" s="255">
        <f>69.9634</f>
        <v>69.963399999999993</v>
      </c>
      <c r="J292" s="132"/>
    </row>
    <row r="293" spans="1:10" ht="14.1" customHeight="1" x14ac:dyDescent="0.25">
      <c r="A293" s="216"/>
      <c r="B293" s="74"/>
      <c r="C293" s="263" t="s">
        <v>61</v>
      </c>
      <c r="D293" s="264">
        <v>5500</v>
      </c>
      <c r="E293" s="264">
        <v>5500</v>
      </c>
      <c r="F293" s="266">
        <f>0.069</f>
        <v>6.9000000000000006E-2</v>
      </c>
      <c r="G293" s="266">
        <f>4539.3061</f>
        <v>4539.3060999999998</v>
      </c>
      <c r="H293" s="266">
        <f t="shared" si="15"/>
        <v>960.69390000000021</v>
      </c>
      <c r="I293" s="266">
        <f>4256.93686</f>
        <v>4256.9368599999998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43.731490000000001</v>
      </c>
      <c r="G294" s="267">
        <f>G296+G295</f>
        <v>1815.2971400000001</v>
      </c>
      <c r="H294" s="267">
        <f>E294-G294</f>
        <v>6184.7028599999994</v>
      </c>
      <c r="I294" s="267">
        <f>I296+I295</f>
        <v>1712.0576900000001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1.23566</f>
        <v>1.23566</v>
      </c>
      <c r="G295" s="255">
        <f>748.37361</f>
        <v>748.37360999999999</v>
      </c>
      <c r="H295" s="255"/>
      <c r="I295" s="255">
        <f>894.11909</f>
        <v>894.11909000000003</v>
      </c>
      <c r="J295" s="132"/>
    </row>
    <row r="296" spans="1:10" ht="14.1" customHeight="1" x14ac:dyDescent="0.25">
      <c r="A296" s="216"/>
      <c r="B296" s="74"/>
      <c r="C296" s="271" t="s">
        <v>110</v>
      </c>
      <c r="D296" s="272"/>
      <c r="E296" s="275"/>
      <c r="F296" s="276">
        <f>42.49583</f>
        <v>42.495829999999998</v>
      </c>
      <c r="G296" s="276">
        <f>1066.92353</f>
        <v>1066.92353</v>
      </c>
      <c r="H296" s="276"/>
      <c r="I296" s="276">
        <f>817.9386</f>
        <v>817.93859999999995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111</v>
      </c>
      <c r="D298" s="280"/>
      <c r="E298" s="281"/>
      <c r="F298" s="266">
        <f>0.2862</f>
        <v>0.28620000000000001</v>
      </c>
      <c r="G298" s="266">
        <f>35.53328</f>
        <v>35.533279999999998</v>
      </c>
      <c r="H298" s="266">
        <f>E298-G298</f>
        <v>-35.533279999999998</v>
      </c>
      <c r="I298" s="266">
        <f>24.74347</f>
        <v>24.743469999999999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427.82329000000004</v>
      </c>
      <c r="G299" s="285">
        <f t="shared" si="16"/>
        <v>11239.208339999999</v>
      </c>
      <c r="H299" s="285">
        <f>H288+H293+H294+H297+H298</f>
        <v>18372.791659999999</v>
      </c>
      <c r="I299" s="285">
        <f t="shared" si="16"/>
        <v>8726.8061999999991</v>
      </c>
      <c r="J299" s="132"/>
    </row>
    <row r="300" spans="1:10" ht="14.1" customHeight="1" x14ac:dyDescent="0.25">
      <c r="A300" s="216"/>
      <c r="B300" s="74"/>
      <c r="C300" s="163" t="s">
        <v>112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123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124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121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121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121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113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114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86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93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76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115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125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116</v>
      </c>
      <c r="D320" s="22" t="s">
        <v>117</v>
      </c>
      <c r="E320" s="20" t="s">
        <v>141</v>
      </c>
      <c r="F320" s="20" t="s">
        <v>142</v>
      </c>
      <c r="G320" s="25" t="s">
        <v>143</v>
      </c>
      <c r="H320" s="20" t="s">
        <v>144</v>
      </c>
      <c r="I320" s="222"/>
      <c r="J320" s="13"/>
    </row>
    <row r="321" spans="1:10" ht="14.1" customHeight="1" x14ac:dyDescent="0.25">
      <c r="A321" s="216"/>
      <c r="B321" s="74"/>
      <c r="C321" s="263" t="s">
        <v>118</v>
      </c>
      <c r="D321" s="10">
        <v>2241</v>
      </c>
      <c r="E321" s="26">
        <f>E323+E322</f>
        <v>0</v>
      </c>
      <c r="F321" s="26">
        <f>F323+F322</f>
        <v>2196.2356300000001</v>
      </c>
      <c r="G321" s="87">
        <f>D321-F321</f>
        <v>44.764369999999872</v>
      </c>
      <c r="H321" s="26">
        <f>SUM(H322:H323)</f>
        <v>1387.8243299999999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1712.96313</f>
        <v>1712.9631300000001</v>
      </c>
      <c r="G322" s="208"/>
      <c r="H322" s="207">
        <f>1082.54115</f>
        <v>1082.54115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483.2725</f>
        <v>483.27249999999998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119</v>
      </c>
      <c r="D324" s="10">
        <v>1120</v>
      </c>
      <c r="E324" s="26">
        <f>SUM(E325:E326)</f>
        <v>98.7</v>
      </c>
      <c r="F324" s="26">
        <f>SUM(F325:F326)</f>
        <v>587.21639000000005</v>
      </c>
      <c r="G324" s="87">
        <f>D324-F324</f>
        <v>532.78360999999995</v>
      </c>
      <c r="H324" s="26">
        <f>SUM(H325:H326)</f>
        <v>488.85789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76.9945</f>
        <v>76.994500000000002</v>
      </c>
      <c r="F325" s="30">
        <f>444.83</f>
        <v>444.83</v>
      </c>
      <c r="G325" s="99"/>
      <c r="H325" s="30">
        <f>375.57492</f>
        <v>375.57492000000002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21.7055</f>
        <v>21.705500000000001</v>
      </c>
      <c r="F326" s="30">
        <f>142.38639</f>
        <v>142.38639000000001</v>
      </c>
      <c r="G326" s="110"/>
      <c r="H326" s="30">
        <f>113.28297</f>
        <v>113.28297000000001</v>
      </c>
      <c r="I326" s="152"/>
      <c r="J326" s="132"/>
    </row>
    <row r="327" spans="1:10" ht="14.1" customHeight="1" x14ac:dyDescent="0.25">
      <c r="A327" s="216"/>
      <c r="B327" s="74"/>
      <c r="C327" s="263" t="s">
        <v>120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99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89</v>
      </c>
      <c r="D331" s="41">
        <f>D321+D324+D327</f>
        <v>3361</v>
      </c>
      <c r="E331" s="42">
        <f>E321+E324+E327+E330</f>
        <v>98.7</v>
      </c>
      <c r="F331" s="42">
        <f>F321+F324+F327+F330</f>
        <v>2783.4520200000002</v>
      </c>
      <c r="G331" s="43">
        <f>SUM(G321:G330)</f>
        <v>577.54797999999982</v>
      </c>
      <c r="H331" s="42">
        <f>H321+H324+H327+H330</f>
        <v>1876.6822199999999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23&amp;R14.06.2023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2023-06-14T07:11:29Z</dcterms:modified>
</cp:coreProperties>
</file>