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38\"/>
    </mc:Choice>
  </mc:AlternateContent>
  <bookViews>
    <workbookView xWindow="0" yWindow="0" windowWidth="19200" windowHeight="7050" tabRatio="374"/>
  </bookViews>
  <sheets>
    <sheet name="UKE_36_2021" sheetId="1" r:id="rId1"/>
  </sheets>
  <definedNames>
    <definedName name="Z_14D440E4_F18A_4F78_9989_38C1B133222D_.wvu.Cols" localSheetId="0" hidden="1">UKE_36_2021!#REF!</definedName>
    <definedName name="Z_14D440E4_F18A_4F78_9989_38C1B133222D_.wvu.PrintArea" localSheetId="0" hidden="1">UKE_36_2021!$B$1:$J$344</definedName>
    <definedName name="Z_14D440E4_F18A_4F78_9989_38C1B133222D_.wvu.Rows" localSheetId="0" hidden="1">UKE_36_2021!#REF!,UKE_36_2021!#REF!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<sst xmlns="http://schemas.openxmlformats.org/spreadsheetml/2006/main" count="265" uniqueCount="143">
  <si>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</si>
  <si>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</si>
  <si>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</si>
  <si>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</si>
  <si>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</si>
  <si>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</si>
  <si>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</si>
  <si>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</si>
  <si>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</si>
  <si>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</si>
  <si>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</si>
  <si>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</si>
  <si>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</si>
  <si>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</si>
  <si>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</si>
  <si>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</si>
  <si>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</si>
  <si>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</si>
  <si>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</si>
  <si>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</si>
  <si>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</si>
  <si>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</si>
  <si>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</si>
  <si>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</si>
  <si>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</si>
  <si>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</si>
  <si>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</si>
  <si>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</si>
  <si>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</si>
  <si>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</si>
  <si>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</si>
  <si>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</si>
  <si>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</si>
  <si>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</si>
  <si>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</si>
  <si>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</si>
  <si>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</si>
  <si>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</si>
  <si>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</si>
  <si>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</si>
  <si>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</si>
  <si>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</si>
  <si>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</si>
  <si>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</si>
  <si>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</si>
  <si>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</si>
  <si>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</si>
  <si>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</si>
  <si>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</si>
  <si>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</si>
  <si>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</si>
  <si>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</si>
  <si>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</si>
  <si>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</si>
  <si>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</si>
  <si>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</si>
  <si>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</si>
  <si>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</si>
  <si>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</si>
  <si>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</si>
  <si>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</si>
  <si>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</si>
  <si>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</si>
  <si>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</si>
  <si>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</si>
  <si>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</si>
  <si>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</si>
  <si>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</si>
  <si>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</si>
  <si>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</si>
  <si>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</si>
  <si>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</si>
  <si>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</si>
  <si>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</si>
  <si>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</si>
  <si>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</si>
  <si>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</si>
  <si>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</si>
  <si>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</si>
  <si>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</si>
  <si>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</si>
  <si>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</si>
  <si>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</si>
  <si>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</si>
  <si>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</si>
  <si>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</si>
  <si>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</si>
  <si>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</si>
  <si>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</si>
  <si>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</si>
  <si>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</si>
  <si>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</si>
  <si>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</si>
  <si>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</si>
  <si>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</si>
  <si>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</si>
  <si>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</si>
  <si>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</si>
  <si>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</si>
  <si>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</si>
  <si>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</si>
  <si>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</si>
  <si>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</si>
  <si>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</si>
  <si>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</si>
  <si>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</si>
  <si>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</si>
  <si>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</si>
  <si>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</si>
  <si>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</si>
  <si>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</si>
  <si>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</si>
  <si>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</si>
  <si>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</si>
  <si>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</si>
  <si>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</si>
  <si>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</si>
  <si>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</si>
  <si>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</si>
  <si>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</si>
  <si>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</si>
  <si>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</si>
  <si>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</si>
  <si>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</si>
  <si>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</si>
  <si>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</si>
  <si>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</si>
  <si>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</si>
  <si>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</si>
  <si>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</si>
  <si>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</si>
  <si>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</si>
  <si>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</si>
  <si>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</si>
  <si>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</si>
  <si>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50 tonn, men det legges til grunn at hele avsetningen tas</t>
    </r>
  </si>
  <si>
    <t>FANGST UKE 38</t>
  </si>
  <si>
    <t>FANGST T.O.M UKE 38</t>
  </si>
  <si>
    <t>RESTKVOTER UKE 38</t>
  </si>
  <si>
    <t>FANGST T.O.M. UKE 38 2020</t>
  </si>
  <si>
    <r>
      <t>3</t>
    </r>
    <r>
      <rPr>
        <sz val="9"/>
        <color indexed="8"/>
        <rFont val="Calibri"/>
        <family val="2"/>
      </rPr>
      <t xml:space="preserve"> Det er fisket 5 421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</si>
  <si>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540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</si>
  <si>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939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</si>
</sst>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85" zoomScaleNormal="110" zoomScaleSheetLayoutView="100" zoomScalePageLayoutView="85" workbookViewId="0">
      <selection activeCell="G3" sqref="G3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398" t="s">
        <v>133</v>
      </c>
      <c r="C2" s="399"/>
      <c r="D2" s="399"/>
      <c r="E2" s="399"/>
      <c r="F2" s="399"/>
      <c r="G2" s="399"/>
      <c r="H2" s="399"/>
      <c r="I2" s="399"/>
      <c r="J2" s="400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01"/>
      <c r="C9" s="402"/>
      <c r="D9" s="402"/>
      <c r="E9" s="402"/>
      <c r="F9" s="402"/>
      <c r="G9" s="402"/>
      <c r="H9" s="402"/>
      <c r="I9" s="402"/>
      <c r="J9" s="403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394" t="s">
        <v>1</v>
      </c>
      <c r="D11" s="395"/>
      <c r="E11" s="394" t="s">
        <v>18</v>
      </c>
      <c r="F11" s="395"/>
      <c r="G11" s="394" t="s">
        <v>19</v>
      </c>
      <c r="H11" s="395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1860.44352</v>
      </c>
      <c r="G23" s="172">
        <f t="shared" si="0"/>
        <v>66276.124779999998</v>
      </c>
      <c r="H23" s="172">
        <f t="shared" si="0"/>
        <v>64177.875220000009</v>
      </c>
      <c r="I23" s="172">
        <f>I25+I24</f>
        <v>65928.543300000005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1846.1395199999999</v>
      </c>
      <c r="G24" s="173">
        <v>65931.936579999994</v>
      </c>
      <c r="H24" s="173">
        <f>E24-G24</f>
        <v>63790.063420000006</v>
      </c>
      <c r="I24" s="173">
        <v>65437.646910000003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14.304</v>
      </c>
      <c r="G25" s="173">
        <v>344.18819999999999</v>
      </c>
      <c r="H25" s="173">
        <f>E25-G25</f>
        <v>387.81180000000001</v>
      </c>
      <c r="I25" s="173">
        <v>490.89639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1143.4853799999999</v>
      </c>
      <c r="G26" s="172">
        <f t="shared" si="1"/>
        <v>220121.93088099998</v>
      </c>
      <c r="H26" s="172">
        <f t="shared" si="1"/>
        <v>61710.069118999992</v>
      </c>
      <c r="I26" s="172">
        <f>I34+I33+I27</f>
        <v>193514.48724000002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592.08129999999994</v>
      </c>
      <c r="G27" s="175">
        <f t="shared" si="2"/>
        <v>182290.95175099999</v>
      </c>
      <c r="H27" s="175">
        <f t="shared" si="2"/>
        <v>38184.048248999992</v>
      </c>
      <c r="I27" s="175">
        <f>I28+I29+I30+I31+I32</f>
        <v>153453.88877000002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89.89685-E55</f>
        <v>46.896850000000001</v>
      </c>
      <c r="G28" s="176">
        <f>44073.87445-F55</f>
        <v>42663.874450000003</v>
      </c>
      <c r="H28" s="176">
        <f t="shared" ref="H28:H34" si="3">E28-G28</f>
        <v>10034.125549999997</v>
      </c>
      <c r="I28" s="176">
        <f>39557.61235-H55</f>
        <v>37592.612350000003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397.03301-E56</f>
        <v>274.03300999999999</v>
      </c>
      <c r="G29" s="176">
        <f>52575.01582-F56</f>
        <v>50228.015820000001</v>
      </c>
      <c r="H29" s="176">
        <f t="shared" si="3"/>
        <v>8007.9841799999995</v>
      </c>
      <c r="I29" s="176">
        <f>41092.80533-H56</f>
        <v>38533.805330000003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58.9109-E57</f>
        <v>-8.089100000000002</v>
      </c>
      <c r="G30" s="176">
        <f>47426.308229-F57</f>
        <v>43938.308229000002</v>
      </c>
      <c r="H30" s="176">
        <f t="shared" si="3"/>
        <v>10295.691770999998</v>
      </c>
      <c r="I30" s="176">
        <f>43638.61152-H57</f>
        <v>40132.611519999999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46.24054-E58</f>
        <v>28.240540000000003</v>
      </c>
      <c r="G31" s="176">
        <f>38215.753252-F58</f>
        <v>36494.753252000002</v>
      </c>
      <c r="H31" s="176">
        <f t="shared" si="3"/>
        <v>3542.2467479999978</v>
      </c>
      <c r="I31" s="176">
        <f>29164.85957-H58</f>
        <v>27295.859570000001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251</v>
      </c>
      <c r="G32" s="176">
        <f>F54</f>
        <v>8966</v>
      </c>
      <c r="H32" s="176">
        <f t="shared" si="3"/>
        <v>6304</v>
      </c>
      <c r="I32" s="176">
        <f>H54</f>
        <v>9899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528.02959999999996</v>
      </c>
      <c r="G33" s="175">
        <v>19662.688890000001</v>
      </c>
      <c r="H33" s="175">
        <f t="shared" si="3"/>
        <v>15337.311109999999</v>
      </c>
      <c r="I33" s="175">
        <v>19346.908810000001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23.374479999999998</v>
      </c>
      <c r="G34" s="175">
        <f>G35+G36</f>
        <v>18168.290239999998</v>
      </c>
      <c r="H34" s="175">
        <f t="shared" si="3"/>
        <v>8188.7097600000016</v>
      </c>
      <c r="I34" s="175">
        <f>I35+I36</f>
        <v>20713.68966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26.37448-E59-E60</f>
        <v>5.3744799999999984</v>
      </c>
      <c r="G35" s="176">
        <f>21251.29024-F59-F60</f>
        <v>17042.290239999998</v>
      </c>
      <c r="H35" s="176">
        <f t="shared" ref="H35:H42" si="4">E35-G35</f>
        <v>7444.7097600000016</v>
      </c>
      <c r="I35" s="176">
        <f>23808.68966-H59-H60</f>
        <v>19394.68966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18</v>
      </c>
      <c r="G36" s="271">
        <f>F59</f>
        <v>1126</v>
      </c>
      <c r="H36" s="271">
        <f t="shared" si="4"/>
        <v>744</v>
      </c>
      <c r="I36" s="271">
        <f>H59</f>
        <v>1319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1294.683949</v>
      </c>
      <c r="H37" s="179">
        <f t="shared" si="4"/>
        <v>1205.316051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/>
      <c r="G38" s="391">
        <v>483.95420000000001</v>
      </c>
      <c r="H38" s="388">
        <f t="shared" si="4"/>
        <v>485.04579999999999</v>
      </c>
      <c r="I38" s="391">
        <v>475.79419000000001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3</v>
      </c>
      <c r="G39" s="391">
        <f>F60</f>
        <v>3083</v>
      </c>
      <c r="H39" s="388">
        <f t="shared" si="4"/>
        <v>793</v>
      </c>
      <c r="I39" s="391">
        <f>H60</f>
        <v>3095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1.46946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>
        <v>30.021000000000001</v>
      </c>
      <c r="G41" s="391">
        <v>1665.2762</v>
      </c>
      <c r="H41" s="388">
        <f t="shared" si="4"/>
        <v>4584.7237999999998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0.87923999999998159</v>
      </c>
      <c r="G42" s="391">
        <v>87.416900000011083</v>
      </c>
      <c r="H42" s="388">
        <f t="shared" si="4"/>
        <v>-87.416900000011083</v>
      </c>
      <c r="I42" s="391">
        <v>127.48352000000887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3039.2986000000001</v>
      </c>
      <c r="G43" s="381">
        <f>G23+G26+G37+G38+G39+G40+G41+G42</f>
        <v>300012.38691</v>
      </c>
      <c r="H43" s="188">
        <f t="shared" si="5"/>
        <v>132868.61309</v>
      </c>
      <c r="I43" s="381">
        <f>I23+I26+I37+I38+I39+I40+I41+I42</f>
        <v>271279.50089999998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393" t="s">
        <v>126</v>
      </c>
      <c r="D51" s="393"/>
      <c r="E51" s="393"/>
      <c r="F51" s="393"/>
      <c r="G51" s="393"/>
      <c r="H51" s="393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38</v>
      </c>
      <c r="F53" s="167" t="str">
        <f>G22</f>
        <v>FANGST T.O.M UKE 38</v>
      </c>
      <c r="G53" s="167" t="str">
        <f>H22</f>
        <v>RESTKVOTER UKE 38</v>
      </c>
      <c r="H53" s="167" t="str">
        <f>I22</f>
        <v>FANGST T.O.M. UKE 38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6">
        <v>15270</v>
      </c>
      <c r="E54" s="172">
        <f>E58+E57+E56+E55</f>
        <v>251</v>
      </c>
      <c r="F54" s="172">
        <f>F58+F57+F56+F55</f>
        <v>8966</v>
      </c>
      <c r="G54" s="406">
        <f>D54-F54</f>
        <v>6304</v>
      </c>
      <c r="H54" s="172">
        <f>H58+H57+H56+H55</f>
        <v>9899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7"/>
      <c r="E55" s="176">
        <v>43</v>
      </c>
      <c r="F55" s="176">
        <v>1410</v>
      </c>
      <c r="G55" s="407"/>
      <c r="H55" s="176">
        <v>1965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7"/>
      <c r="E56" s="176">
        <v>123</v>
      </c>
      <c r="F56" s="176">
        <v>2347</v>
      </c>
      <c r="G56" s="407"/>
      <c r="H56" s="176">
        <v>2559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7"/>
      <c r="E57" s="176">
        <v>67</v>
      </c>
      <c r="F57" s="176">
        <v>3488</v>
      </c>
      <c r="G57" s="407"/>
      <c r="H57" s="176">
        <v>3506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8"/>
      <c r="E58" s="177">
        <v>18</v>
      </c>
      <c r="F58" s="177">
        <v>1721</v>
      </c>
      <c r="G58" s="408"/>
      <c r="H58" s="177">
        <v>1869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18</v>
      </c>
      <c r="F59" s="390">
        <v>1126</v>
      </c>
      <c r="G59" s="283">
        <f>D59-F59</f>
        <v>744</v>
      </c>
      <c r="H59" s="390">
        <v>1319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3</v>
      </c>
      <c r="F60" s="179">
        <v>3083</v>
      </c>
      <c r="G60" s="179">
        <f>D60-F60</f>
        <v>750</v>
      </c>
      <c r="H60" s="179">
        <v>3095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394" t="s">
        <v>1</v>
      </c>
      <c r="D94" s="395"/>
      <c r="E94" s="394" t="s">
        <v>18</v>
      </c>
      <c r="F94" s="412"/>
      <c r="G94" s="394" t="s">
        <v>19</v>
      </c>
      <c r="H94" s="395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38</v>
      </c>
      <c r="G104" s="108" t="str">
        <f>G22</f>
        <v>FANGST T.O.M UKE 38</v>
      </c>
      <c r="H104" s="108" t="str">
        <f>H22</f>
        <v>RESTKVOTER UKE 38</v>
      </c>
      <c r="I104" s="108" t="str">
        <f>I22</f>
        <v>FANGST T.O.M. UKE 38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478.29487</v>
      </c>
      <c r="G105" s="172">
        <f t="shared" si="6"/>
        <v>43532.489840000002</v>
      </c>
      <c r="H105" s="172">
        <f t="shared" si="6"/>
        <v>3913.5101599999989</v>
      </c>
      <c r="I105" s="172">
        <f t="shared" si="6"/>
        <v>27099.206580000002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472.86567000000002</v>
      </c>
      <c r="G106" s="173">
        <v>42805.618620000001</v>
      </c>
      <c r="H106" s="173">
        <f>E106-G106</f>
        <v>3815.3813799999989</v>
      </c>
      <c r="I106" s="173">
        <v>26853.118780000001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5.4291999999999998</v>
      </c>
      <c r="G107" s="174">
        <v>726.87121999999999</v>
      </c>
      <c r="H107" s="174">
        <f>E107-G107</f>
        <v>98.128780000000006</v>
      </c>
      <c r="I107" s="174">
        <v>246.08779999999999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429.20938000000001</v>
      </c>
      <c r="G108" s="172">
        <f t="shared" si="7"/>
        <v>37223.755160000001</v>
      </c>
      <c r="H108" s="172">
        <f t="shared" si="7"/>
        <v>39028.244839999999</v>
      </c>
      <c r="I108" s="172">
        <f>I109+I114+I115</f>
        <v>41206.100469999998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349.65244000000001</v>
      </c>
      <c r="G109" s="175">
        <f t="shared" si="8"/>
        <v>29895.44527</v>
      </c>
      <c r="H109" s="175">
        <f t="shared" si="8"/>
        <v>28341.55473</v>
      </c>
      <c r="I109" s="175">
        <f t="shared" si="8"/>
        <v>32698.456899999997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53.728589999999997</v>
      </c>
      <c r="G110" s="176">
        <v>3719.0411199999999</v>
      </c>
      <c r="H110" s="176">
        <f>E110-G110</f>
        <v>12114.95888</v>
      </c>
      <c r="I110" s="176">
        <v>4681.7065199999997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142.63155</v>
      </c>
      <c r="G111" s="176">
        <v>9682.8760500000008</v>
      </c>
      <c r="H111" s="176">
        <f t="shared" ref="H111:H119" si="9">E111-G111</f>
        <v>6522.1239499999992</v>
      </c>
      <c r="I111" s="176">
        <v>9495.0343799999991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108.19396</v>
      </c>
      <c r="G112" s="176">
        <v>10554.592860000001</v>
      </c>
      <c r="H112" s="176">
        <f t="shared" si="9"/>
        <v>6025.4071399999993</v>
      </c>
      <c r="I112" s="176">
        <v>10631.658369999999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45.09834</v>
      </c>
      <c r="G113" s="176">
        <v>5938.9352399999998</v>
      </c>
      <c r="H113" s="176">
        <f t="shared" si="9"/>
        <v>3679.0647600000002</v>
      </c>
      <c r="I113" s="176">
        <v>7890.0576300000002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46.952120000000001</v>
      </c>
      <c r="G114" s="175">
        <v>5942.5951400000004</v>
      </c>
      <c r="H114" s="175">
        <f>E114-G114</f>
        <v>5879.4048599999996</v>
      </c>
      <c r="I114" s="175">
        <v>7173.0365499999998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32.604819999999997</v>
      </c>
      <c r="G115" s="198">
        <v>1385.7147500000001</v>
      </c>
      <c r="H115" s="198">
        <f t="shared" si="9"/>
        <v>4807.2852499999999</v>
      </c>
      <c r="I115" s="198">
        <v>1334.6070199999999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35.19267</v>
      </c>
      <c r="H116" s="388">
        <f t="shared" si="9"/>
        <v>343.80732999999998</v>
      </c>
      <c r="I116" s="391">
        <v>9.7430800000000009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0.31642999999999999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103.09180000000001</v>
      </c>
      <c r="H118" s="179">
        <f t="shared" si="9"/>
        <v>2896.9081999999999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1.0882699999999659</v>
      </c>
      <c r="G119" s="179">
        <v>52.453969999987748</v>
      </c>
      <c r="H119" s="179">
        <f t="shared" si="9"/>
        <v>-52.453969999987748</v>
      </c>
      <c r="I119" s="179">
        <v>160.14831999999296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908.90894999999989</v>
      </c>
      <c r="G120" s="381">
        <f t="shared" si="10"/>
        <v>81246.983439999982</v>
      </c>
      <c r="H120" s="381">
        <f t="shared" si="10"/>
        <v>46130.016560000011</v>
      </c>
      <c r="I120" s="381">
        <f>I105+I108+I116+I117++I118+I119</f>
        <v>68775.198449999996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394" t="s">
        <v>1</v>
      </c>
      <c r="D131" s="395"/>
      <c r="E131" s="394" t="s">
        <v>18</v>
      </c>
      <c r="F131" s="395"/>
      <c r="G131" s="394" t="s">
        <v>19</v>
      </c>
      <c r="H131" s="395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38</v>
      </c>
      <c r="G140" s="108" t="str">
        <f>G22</f>
        <v>FANGST T.O.M UKE 38</v>
      </c>
      <c r="H140" s="108" t="str">
        <f>H22</f>
        <v>RESTKVOTER UKE 38</v>
      </c>
      <c r="I140" s="108" t="str">
        <f>I22</f>
        <v>FANGST T.O.M. UKE 38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2110.8883000000001</v>
      </c>
      <c r="G141" s="200">
        <f t="shared" si="11"/>
        <v>48446.839079999998</v>
      </c>
      <c r="H141" s="200">
        <f t="shared" si="11"/>
        <v>11747.160920000002</v>
      </c>
      <c r="I141" s="200">
        <f t="shared" si="11"/>
        <v>42313.612269999998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1851.9853000000001</v>
      </c>
      <c r="G142" s="202">
        <v>43061.983939999998</v>
      </c>
      <c r="H142" s="202">
        <f>E142-G142</f>
        <v>5039.0160600000017</v>
      </c>
      <c r="I142" s="202">
        <v>36338.325649999999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258.90300000000002</v>
      </c>
      <c r="G143" s="202">
        <v>5384.8551399999997</v>
      </c>
      <c r="H143" s="202">
        <f>E143-G143</f>
        <v>6208.1448600000003</v>
      </c>
      <c r="I143" s="202">
        <v>5975.2866199999999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>
        <v>13.276</v>
      </c>
      <c r="G145" s="206">
        <v>34793.521919999999</v>
      </c>
      <c r="H145" s="206">
        <f>E145-G145</f>
        <v>9038.4780800000008</v>
      </c>
      <c r="I145" s="206">
        <v>25346.041270000002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884.78008</v>
      </c>
      <c r="G146" s="208">
        <f t="shared" si="12"/>
        <v>49329.973710000006</v>
      </c>
      <c r="H146" s="208">
        <f t="shared" si="12"/>
        <v>16688.026290000002</v>
      </c>
      <c r="I146" s="208">
        <f>I147+I152+I155</f>
        <v>46847.265110000008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750.06910000000005</v>
      </c>
      <c r="G147" s="210">
        <f>G148+G149+G151+G150</f>
        <v>36813.826440000004</v>
      </c>
      <c r="H147" s="210">
        <f>H148+H149+H150+H151</f>
        <v>13045.173560000001</v>
      </c>
      <c r="I147" s="210">
        <f>I148+I149+I150+I151</f>
        <v>34886.387520000004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118.5043</v>
      </c>
      <c r="G148" s="193">
        <v>8267.6343500000003</v>
      </c>
      <c r="H148" s="193">
        <f>E148-G148</f>
        <v>6455.3656499999997</v>
      </c>
      <c r="I148" s="193">
        <v>7417.7476999999999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195.60507000000001</v>
      </c>
      <c r="G149" s="193">
        <v>10207.941349999999</v>
      </c>
      <c r="H149" s="193">
        <f>E149-G149</f>
        <v>2084.0586500000009</v>
      </c>
      <c r="I149" s="193">
        <v>8198.5154199999997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235.72505000000001</v>
      </c>
      <c r="G150" s="193">
        <v>8549.7115099999992</v>
      </c>
      <c r="H150" s="193">
        <f>E150-G150</f>
        <v>3540.2884900000008</v>
      </c>
      <c r="I150" s="193">
        <v>11503.669550000001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200.23468</v>
      </c>
      <c r="G151" s="193">
        <v>9788.5392300000003</v>
      </c>
      <c r="H151" s="193">
        <f>E151-G151</f>
        <v>965.46076999999968</v>
      </c>
      <c r="I151" s="193">
        <v>7766.4548500000001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14.245200000000001</v>
      </c>
      <c r="G152" s="213">
        <v>5783.5072499999997</v>
      </c>
      <c r="H152" s="213">
        <f>H153+H154</f>
        <v>1083.4927500000003</v>
      </c>
      <c r="I152" s="213">
        <v>5942.2265399999997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>
        <v>1.7415</v>
      </c>
      <c r="G153" s="193">
        <v>5663.3519999999999</v>
      </c>
      <c r="H153" s="193">
        <f>E153-G153</f>
        <v>703.64800000000014</v>
      </c>
      <c r="I153" s="193">
        <v>5801.07564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120.1552499999998</v>
      </c>
      <c r="H154" s="193">
        <f t="shared" ref="H154:H160" si="13">E154-G154</f>
        <v>379.8447500000002</v>
      </c>
      <c r="I154" s="193">
        <f>I152-I153</f>
        <v>141.15089999999964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120.46578</v>
      </c>
      <c r="G155" s="215">
        <v>6732.6400199999998</v>
      </c>
      <c r="H155" s="215">
        <f t="shared" si="13"/>
        <v>2559.3599800000002</v>
      </c>
      <c r="I155" s="215">
        <v>6018.6510500000004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20.983360000000001</v>
      </c>
      <c r="H156" s="195">
        <f t="shared" si="13"/>
        <v>123.01664</v>
      </c>
      <c r="I156" s="195">
        <v>12.9992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4.1126300000000002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110.17326000000003</v>
      </c>
      <c r="G160" s="219">
        <v>742.52625999998418</v>
      </c>
      <c r="H160" s="219">
        <f t="shared" si="13"/>
        <v>-742.52625999998418</v>
      </c>
      <c r="I160" s="219">
        <v>1017.3882599999924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3123.23027</v>
      </c>
      <c r="G162" s="188">
        <f t="shared" si="14"/>
        <v>135715.22983000003</v>
      </c>
      <c r="H162" s="188">
        <f t="shared" si="14"/>
        <v>37022.770170000025</v>
      </c>
      <c r="I162" s="188">
        <f>I141+I145+I146+I156+I157+I158+I159+I160</f>
        <v>117753.84191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404" t="s">
        <v>1</v>
      </c>
      <c r="D177" s="405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38</v>
      </c>
      <c r="F186" s="108" t="str">
        <f>G22</f>
        <v>FANGST T.O.M UKE 38</v>
      </c>
      <c r="G186" s="168" t="str">
        <f>H22</f>
        <v>RESTKVOTER UKE 38</v>
      </c>
      <c r="H186" s="108" t="str">
        <f>I22</f>
        <v>FANGST T.O.M. UKE 38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6">
        <v>5394</v>
      </c>
      <c r="E187" s="189">
        <v>44.594149999999999</v>
      </c>
      <c r="F187" s="189">
        <v>1483.08195</v>
      </c>
      <c r="G187" s="396">
        <f>D187-F187-F188</f>
        <v>2133.2541799999999</v>
      </c>
      <c r="H187" s="189">
        <v>1377.01439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4"/>
      <c r="E188" s="190">
        <v>58.525219999999997</v>
      </c>
      <c r="F188" s="190">
        <v>1777.6638700000001</v>
      </c>
      <c r="G188" s="397"/>
      <c r="H188" s="190">
        <v>1683.92317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0.1265</v>
      </c>
      <c r="F189" s="191">
        <v>67.352590000000006</v>
      </c>
      <c r="G189" s="191">
        <f>D189-F189</f>
        <v>132.64740999999998</v>
      </c>
      <c r="H189" s="191">
        <v>97.538499999999999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26.825059999999997</v>
      </c>
      <c r="F190" s="192">
        <f>F191+F192+F193</f>
        <v>7999.0099500000006</v>
      </c>
      <c r="G190" s="192">
        <f>D190-F190</f>
        <v>90.990049999999428</v>
      </c>
      <c r="H190" s="192">
        <f>H191+H192+H193</f>
        <v>7725.5426299999999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4.4331100000000001</v>
      </c>
      <c r="F191" s="193">
        <v>4056.6481800000001</v>
      </c>
      <c r="G191" s="193"/>
      <c r="H191" s="193">
        <v>3781.4817499999999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16.312999999999999</v>
      </c>
      <c r="F192" s="193">
        <v>2436.38996</v>
      </c>
      <c r="G192" s="193"/>
      <c r="H192" s="193">
        <v>2447.2533400000002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6.0789499999999999</v>
      </c>
      <c r="F193" s="194">
        <v>1505.97181</v>
      </c>
      <c r="G193" s="194"/>
      <c r="H193" s="194">
        <v>1496.80754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7.4999999999999997E-3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130.07093</v>
      </c>
      <c r="F196" s="180">
        <f>F187+F188+F189+F190+F194+F195</f>
        <v>11327.73756</v>
      </c>
      <c r="G196" s="180">
        <f>D196-F196</f>
        <v>2427.2624400000004</v>
      </c>
      <c r="H196" s="180">
        <f>H187+H188+H189+H190+H194+H195</f>
        <v>10884.03369</v>
      </c>
      <c r="I196" s="103"/>
      <c r="J196" s="302"/>
    </row>
    <row r="197" spans="1:10" ht="15.75" customHeight="1" x14ac:dyDescent="0.35">
      <c r="A197" s="51"/>
      <c r="B197" s="304"/>
      <c r="C197" s="413" t="s">
        <v>97</v>
      </c>
      <c r="D197" s="413"/>
      <c r="E197" s="413"/>
      <c r="F197" s="413"/>
      <c r="G197" s="413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404" t="s">
        <v>1</v>
      </c>
      <c r="D204" s="405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38</v>
      </c>
      <c r="F215" s="42" t="str">
        <f>G22</f>
        <v>FANGST T.O.M UKE 38</v>
      </c>
      <c r="G215" s="42" t="str">
        <f>H22</f>
        <v>RESTKVOTER UKE 38</v>
      </c>
      <c r="H215" s="42" t="str">
        <f>I22</f>
        <v>FANGST T.O.M. UKE 38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97.315600000000003</v>
      </c>
      <c r="F216" s="266">
        <v>42352.611850000001</v>
      </c>
      <c r="G216" s="266">
        <f>D216-F216</f>
        <v>1026.3881499999989</v>
      </c>
      <c r="H216" s="266">
        <v>29616.87196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0.753</v>
      </c>
      <c r="F217" s="266">
        <v>29.364750000000001</v>
      </c>
      <c r="G217" s="266">
        <f>D217-F217</f>
        <v>70.635249999999999</v>
      </c>
      <c r="H217" s="266">
        <v>9.0196100000000001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98.068600000000004</v>
      </c>
      <c r="F219" s="268">
        <f>SUM(F216:F218)</f>
        <v>42381.976600000002</v>
      </c>
      <c r="G219" s="268">
        <f>D219-F219</f>
        <v>1152.0233999999982</v>
      </c>
      <c r="H219" s="268">
        <f>SUM(H216:H218)</f>
        <v>29625.89157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404" t="s">
        <v>1</v>
      </c>
      <c r="D258" s="405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38</v>
      </c>
      <c r="F268" s="42" t="str">
        <f>G22</f>
        <v>FANGST T.O.M UKE 38</v>
      </c>
      <c r="G268" s="42" t="str">
        <f>H22</f>
        <v>RESTKVOTER UKE 38</v>
      </c>
      <c r="H268" s="42" t="str">
        <f>I22</f>
        <v>FANGST T.O.M. UKE 38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9">
        <v>1701</v>
      </c>
      <c r="E269" s="164">
        <v>5.6158000000000001</v>
      </c>
      <c r="F269" s="164">
        <v>436.78816999999998</v>
      </c>
      <c r="G269" s="396">
        <f>D269-F269-F270</f>
        <v>334.14296000000002</v>
      </c>
      <c r="H269" s="164">
        <v>535.21496999999999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10"/>
      <c r="E270" s="164">
        <v>22.814070000000001</v>
      </c>
      <c r="F270" s="164">
        <v>930.06886999999995</v>
      </c>
      <c r="G270" s="411"/>
      <c r="H270" s="164">
        <v>1488.44172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>
        <v>3.0000000000000001E-3</v>
      </c>
      <c r="F271" s="165">
        <v>1.389</v>
      </c>
      <c r="G271" s="164">
        <f>D271-F271</f>
        <v>3.6109999999999998</v>
      </c>
      <c r="H271" s="165">
        <v>3.3269199999999999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>
        <v>2.2499999999999998E-3</v>
      </c>
      <c r="F272" s="165">
        <v>2.8160599999999998</v>
      </c>
      <c r="G272" s="164"/>
      <c r="H272" s="165">
        <v>2.0574300000000001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28.435120000000001</v>
      </c>
      <c r="F273" s="166">
        <f>SUM(F269:F272)</f>
        <v>1371.0620999999999</v>
      </c>
      <c r="G273" s="166">
        <f>D273-F273</f>
        <v>334.93790000000013</v>
      </c>
      <c r="H273" s="166">
        <f>H269+H270+H271+H272</f>
        <v>2029.0410400000001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404" t="s">
        <v>1</v>
      </c>
      <c r="D286" s="405"/>
      <c r="E286" s="404" t="s">
        <v>51</v>
      </c>
      <c r="F286" s="405"/>
      <c r="G286" s="404" t="s">
        <v>52</v>
      </c>
      <c r="H286" s="405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38</v>
      </c>
      <c r="G298" s="326" t="str">
        <f>G22</f>
        <v>FANGST T.O.M UKE 38</v>
      </c>
      <c r="H298" s="326" t="str">
        <f>H22</f>
        <v>RESTKVOTER UKE 38</v>
      </c>
      <c r="I298" s="326" t="str">
        <f>I22</f>
        <v>FANGST T.O.M. UKE 38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36.72578</v>
      </c>
      <c r="G299" s="375">
        <f t="shared" si="15"/>
        <v>11926.35707</v>
      </c>
      <c r="H299" s="375">
        <f t="shared" si="15"/>
        <v>8761.64293</v>
      </c>
      <c r="I299" s="375">
        <f>I303+I302+I301+I300</f>
        <v>26106.584580000002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7408.2167600000002</v>
      </c>
      <c r="H300" s="333">
        <f t="shared" ref="H300:H304" si="16">E300-G300</f>
        <v>4116.7832399999998</v>
      </c>
      <c r="I300" s="333">
        <v>18828.584470000002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1755.4774500000001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7.4097799999999996</v>
      </c>
      <c r="G302" s="333">
        <v>1195.5688600000001</v>
      </c>
      <c r="H302" s="333">
        <f t="shared" si="16"/>
        <v>245.43113999999991</v>
      </c>
      <c r="I302" s="333">
        <v>2183.20586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29.315999999999999</v>
      </c>
      <c r="G303" s="333">
        <v>2300.06925</v>
      </c>
      <c r="H303" s="333">
        <f t="shared" si="16"/>
        <v>2421.93075</v>
      </c>
      <c r="I303" s="333">
        <v>3339.3168000000001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0.1</v>
      </c>
      <c r="G304" s="339">
        <v>2197.2626100000002</v>
      </c>
      <c r="H304" s="339">
        <f t="shared" si="16"/>
        <v>3302.7373899999998</v>
      </c>
      <c r="I304" s="339">
        <v>3879.5622800000001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24.218249999999998</v>
      </c>
      <c r="G305" s="330">
        <f>G307+G306</f>
        <v>2928.7589799999996</v>
      </c>
      <c r="H305" s="330">
        <f>E305-G305</f>
        <v>5071.2410200000004</v>
      </c>
      <c r="I305" s="330">
        <f>I307+I306</f>
        <v>4166.3821799999996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>
        <v>1.6186499999999999</v>
      </c>
      <c r="G306" s="333">
        <v>12.45243</v>
      </c>
      <c r="H306" s="333"/>
      <c r="I306" s="333">
        <v>538.27876000000003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22.599599999999999</v>
      </c>
      <c r="G307" s="344">
        <v>2916.3065499999998</v>
      </c>
      <c r="H307" s="344"/>
      <c r="I307" s="344">
        <v>3628.1034199999999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>
        <v>0.19034999999999999</v>
      </c>
      <c r="G308" s="339">
        <v>0.39150000000000001</v>
      </c>
      <c r="H308" s="339">
        <f>E308-G308</f>
        <v>9.6084999999999994</v>
      </c>
      <c r="I308" s="339">
        <v>0.64724999999999999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0.32933000000000001</v>
      </c>
      <c r="G309" s="339">
        <v>41.258899999999997</v>
      </c>
      <c r="H309" s="339">
        <f>E309-G309</f>
        <v>-41.258899999999997</v>
      </c>
      <c r="I309" s="339">
        <v>60.000779999999999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61.56371</v>
      </c>
      <c r="G310" s="350">
        <f t="shared" si="17"/>
        <v>17094.029060000001</v>
      </c>
      <c r="H310" s="350">
        <f t="shared" si="17"/>
        <v>17103.970939999999</v>
      </c>
      <c r="I310" s="350">
        <f>I299+I304+I305+I308+I309</f>
        <v>34213.177070000005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404" t="s">
        <v>1</v>
      </c>
      <c r="D321" s="405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38</v>
      </c>
      <c r="F331" s="327" t="str">
        <f>G22</f>
        <v>FANGST T.O.M UKE 38</v>
      </c>
      <c r="G331" s="367" t="str">
        <f>H22</f>
        <v>RESTKVOTER UKE 38</v>
      </c>
      <c r="H331" s="327" t="str">
        <f>I22</f>
        <v>FANGST T.O.M. UKE 38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415">
        <v>1685</v>
      </c>
      <c r="E332" s="382">
        <f>E334+E333</f>
        <v>0</v>
      </c>
      <c r="F332" s="382">
        <f>F334+F333</f>
        <v>1831.19598</v>
      </c>
      <c r="G332" s="418">
        <f>D332-F332</f>
        <v>-146.19597999999996</v>
      </c>
      <c r="H332" s="382">
        <f>SUM(H333:H334)</f>
        <v>1914.2534299999998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416"/>
      <c r="E333" s="383"/>
      <c r="F333" s="383">
        <v>1522.5934299999999</v>
      </c>
      <c r="G333" s="419"/>
      <c r="H333" s="383">
        <v>1555.7296899999999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417"/>
      <c r="E334" s="384"/>
      <c r="F334" s="384">
        <v>308.60255000000001</v>
      </c>
      <c r="G334" s="420"/>
      <c r="H334" s="384">
        <v>358.52373999999998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415">
        <v>1240</v>
      </c>
      <c r="E335" s="382">
        <f>SUM(E336:E337)</f>
        <v>0</v>
      </c>
      <c r="F335" s="382">
        <f>SUM(F336:F337)</f>
        <v>1307.0023000000001</v>
      </c>
      <c r="G335" s="418">
        <f>D335-F335</f>
        <v>-67.002300000000105</v>
      </c>
      <c r="H335" s="382">
        <f>SUM(H336:H337)</f>
        <v>1675.2456500000001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416"/>
      <c r="E336" s="369"/>
      <c r="F336" s="369">
        <v>1060.5186000000001</v>
      </c>
      <c r="G336" s="419"/>
      <c r="H336" s="369">
        <v>1358.1619000000001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417"/>
      <c r="E337" s="369"/>
      <c r="F337" s="369">
        <v>246.4837</v>
      </c>
      <c r="G337" s="420"/>
      <c r="H337" s="369">
        <v>317.08375000000001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415">
        <v>1240</v>
      </c>
      <c r="E338" s="389">
        <f>SUM(E339:E340)</f>
        <v>44.606000000000002</v>
      </c>
      <c r="F338" s="389">
        <f>SUM(F339:F340)</f>
        <v>236.77529999999999</v>
      </c>
      <c r="G338" s="418">
        <f>D338-F338</f>
        <v>1003.2247</v>
      </c>
      <c r="H338" s="389">
        <f>SUM(H339:H340)</f>
        <v>327.70148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416"/>
      <c r="E339" s="369">
        <v>38.662500000000001</v>
      </c>
      <c r="F339" s="369">
        <v>198.97649999999999</v>
      </c>
      <c r="G339" s="419"/>
      <c r="H339" s="369">
        <v>275.01600000000002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417"/>
      <c r="E340" s="385">
        <v>5.9435000000000002</v>
      </c>
      <c r="F340" s="385">
        <v>37.7988</v>
      </c>
      <c r="G340" s="420"/>
      <c r="H340" s="385">
        <v>52.685479999999998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44.606000000000002</v>
      </c>
      <c r="F342" s="387">
        <f>F332+F335+F338+F341</f>
        <v>3374.9735799999999</v>
      </c>
      <c r="G342" s="377">
        <f>SUM(G332:G341)</f>
        <v>790.02641999999992</v>
      </c>
      <c r="H342" s="387">
        <f>H332+H335+H338+H341</f>
        <v>3917.2005599999998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38
&amp;"-,Normal"&amp;11(iht. motatte landings- og sluttsedler fra fiskesalgslagene; alle tallstørrelser i hele tonn)&amp;R26.09.2021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2021-09-28T08:23:27Z</dcterms:modified>
</cp:coreProperties>
</file>