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ollek\Settings\Desktop\a-Publisering\"/>
    </mc:Choice>
  </mc:AlternateContent>
  <xr:revisionPtr revIDLastSave="0" documentId="8_{5A4AFD85-8067-4FC8-9D2E-FAC575703D4B}" xr6:coauthVersionLast="47" xr6:coauthVersionMax="47" xr10:uidLastSave="{00000000-0000-0000-0000-000000000000}"/>
  <bookViews>
    <workbookView xWindow="-29940" yWindow="1680" windowWidth="23040" windowHeight="1219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2" i="1" l="1"/>
  <c r="H189" i="1"/>
  <c r="G189" i="1"/>
  <c r="G119" i="1"/>
  <c r="H119" i="1" s="1"/>
  <c r="G125" i="1"/>
  <c r="H125" i="1" s="1"/>
  <c r="G124" i="1"/>
  <c r="G121" i="1" s="1"/>
  <c r="G123" i="1"/>
  <c r="F34" i="1"/>
  <c r="I34" i="1"/>
  <c r="I33" i="1" s="1"/>
  <c r="H34" i="1"/>
  <c r="H345" i="1"/>
  <c r="G345" i="1"/>
  <c r="F345" i="1"/>
  <c r="E345" i="1"/>
  <c r="D345" i="1"/>
  <c r="G344" i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G303" i="1"/>
  <c r="F303" i="1"/>
  <c r="E303" i="1"/>
  <c r="H302" i="1"/>
  <c r="H300" i="1" s="1"/>
  <c r="F302" i="1"/>
  <c r="E302" i="1"/>
  <c r="E300" i="1" s="1"/>
  <c r="H301" i="1"/>
  <c r="F301" i="1"/>
  <c r="E301" i="1"/>
  <c r="F300" i="1"/>
  <c r="G300" i="1" s="1"/>
  <c r="H299" i="1"/>
  <c r="F299" i="1"/>
  <c r="E299" i="1"/>
  <c r="H298" i="1"/>
  <c r="H297" i="1" s="1"/>
  <c r="F298" i="1"/>
  <c r="F297" i="1" s="1"/>
  <c r="G297" i="1" s="1"/>
  <c r="E298" i="1"/>
  <c r="E297" i="1"/>
  <c r="H296" i="1"/>
  <c r="F296" i="1"/>
  <c r="E296" i="1"/>
  <c r="H295" i="1"/>
  <c r="F295" i="1"/>
  <c r="F294" i="1" s="1"/>
  <c r="E295" i="1"/>
  <c r="E294" i="1" s="1"/>
  <c r="H294" i="1"/>
  <c r="D273" i="1"/>
  <c r="I272" i="1"/>
  <c r="G272" i="1"/>
  <c r="H272" i="1" s="1"/>
  <c r="F272" i="1"/>
  <c r="I271" i="1"/>
  <c r="G271" i="1"/>
  <c r="H271" i="1" s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G266" i="1"/>
  <c r="H266" i="1" s="1"/>
  <c r="F266" i="1"/>
  <c r="I265" i="1"/>
  <c r="I262" i="1" s="1"/>
  <c r="I273" i="1" s="1"/>
  <c r="G265" i="1"/>
  <c r="H265" i="1" s="1"/>
  <c r="F265" i="1"/>
  <c r="F262" i="1" s="1"/>
  <c r="F273" i="1" s="1"/>
  <c r="I264" i="1"/>
  <c r="G264" i="1"/>
  <c r="H264" i="1" s="1"/>
  <c r="F264" i="1"/>
  <c r="I263" i="1"/>
  <c r="G263" i="1"/>
  <c r="H263" i="1" s="1"/>
  <c r="F263" i="1"/>
  <c r="G262" i="1"/>
  <c r="G273" i="1" s="1"/>
  <c r="E262" i="1"/>
  <c r="E273" i="1" s="1"/>
  <c r="D262" i="1"/>
  <c r="H254" i="1"/>
  <c r="F254" i="1"/>
  <c r="D251" i="1"/>
  <c r="D250" i="1"/>
  <c r="F241" i="1"/>
  <c r="G241" i="1" s="1"/>
  <c r="D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E237" i="1"/>
  <c r="E241" i="1" s="1"/>
  <c r="D230" i="1"/>
  <c r="D219" i="1"/>
  <c r="H218" i="1"/>
  <c r="F218" i="1"/>
  <c r="G218" i="1" s="1"/>
  <c r="E218" i="1"/>
  <c r="H217" i="1"/>
  <c r="F217" i="1"/>
  <c r="E217" i="1"/>
  <c r="H216" i="1"/>
  <c r="H215" i="1" s="1"/>
  <c r="H219" i="1" s="1"/>
  <c r="F216" i="1"/>
  <c r="F215" i="1" s="1"/>
  <c r="E216" i="1"/>
  <c r="E215" i="1"/>
  <c r="E219" i="1" s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E203" i="1"/>
  <c r="F202" i="1"/>
  <c r="G202" i="1" s="1"/>
  <c r="E202" i="1"/>
  <c r="E206" i="1" s="1"/>
  <c r="G192" i="1"/>
  <c r="E192" i="1"/>
  <c r="D192" i="1"/>
  <c r="I191" i="1"/>
  <c r="H191" i="1"/>
  <c r="G191" i="1"/>
  <c r="F191" i="1"/>
  <c r="I190" i="1"/>
  <c r="G190" i="1"/>
  <c r="H190" i="1" s="1"/>
  <c r="F190" i="1"/>
  <c r="I189" i="1"/>
  <c r="I192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H169" i="1" s="1"/>
  <c r="F164" i="1"/>
  <c r="F163" i="1" s="1"/>
  <c r="G163" i="1" s="1"/>
  <c r="E164" i="1"/>
  <c r="E163" i="1" s="1"/>
  <c r="H162" i="1"/>
  <c r="F162" i="1"/>
  <c r="G162" i="1" s="1"/>
  <c r="E162" i="1"/>
  <c r="H161" i="1"/>
  <c r="F161" i="1"/>
  <c r="E161" i="1"/>
  <c r="H160" i="1"/>
  <c r="F160" i="1"/>
  <c r="F169" i="1" s="1"/>
  <c r="E160" i="1"/>
  <c r="I135" i="1"/>
  <c r="H135" i="1"/>
  <c r="G135" i="1"/>
  <c r="F135" i="1"/>
  <c r="I134" i="1"/>
  <c r="H134" i="1"/>
  <c r="G134" i="1"/>
  <c r="F134" i="1"/>
  <c r="H133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I126" i="1" s="1"/>
  <c r="I120" i="1" s="1"/>
  <c r="H128" i="1"/>
  <c r="G128" i="1"/>
  <c r="F128" i="1"/>
  <c r="I127" i="1"/>
  <c r="G127" i="1"/>
  <c r="H127" i="1" s="1"/>
  <c r="H126" i="1" s="1"/>
  <c r="F127" i="1"/>
  <c r="F126" i="1"/>
  <c r="F120" i="1" s="1"/>
  <c r="E126" i="1"/>
  <c r="D126" i="1"/>
  <c r="I125" i="1"/>
  <c r="F125" i="1"/>
  <c r="I124" i="1"/>
  <c r="H124" i="1"/>
  <c r="F124" i="1"/>
  <c r="I123" i="1"/>
  <c r="F123" i="1"/>
  <c r="I122" i="1"/>
  <c r="G122" i="1"/>
  <c r="H122" i="1" s="1"/>
  <c r="F122" i="1"/>
  <c r="I121" i="1"/>
  <c r="F121" i="1"/>
  <c r="E121" i="1"/>
  <c r="D121" i="1"/>
  <c r="D120" i="1" s="1"/>
  <c r="E120" i="1"/>
  <c r="I119" i="1"/>
  <c r="F119" i="1"/>
  <c r="I118" i="1"/>
  <c r="G118" i="1"/>
  <c r="H118" i="1" s="1"/>
  <c r="F118" i="1"/>
  <c r="I117" i="1"/>
  <c r="G117" i="1"/>
  <c r="H117" i="1" s="1"/>
  <c r="F117" i="1"/>
  <c r="I116" i="1"/>
  <c r="I115" i="1" s="1"/>
  <c r="G116" i="1"/>
  <c r="G115" i="1" s="1"/>
  <c r="F116" i="1"/>
  <c r="F115" i="1" s="1"/>
  <c r="E115" i="1"/>
  <c r="E137" i="1" s="1"/>
  <c r="D115" i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H83" i="1" s="1"/>
  <c r="H82" i="1" s="1"/>
  <c r="G85" i="1"/>
  <c r="F85" i="1"/>
  <c r="I84" i="1"/>
  <c r="I83" i="1" s="1"/>
  <c r="I82" i="1" s="1"/>
  <c r="H84" i="1"/>
  <c r="G84" i="1"/>
  <c r="F84" i="1"/>
  <c r="F83" i="1" s="1"/>
  <c r="F82" i="1" s="1"/>
  <c r="G83" i="1"/>
  <c r="G82" i="1" s="1"/>
  <c r="E83" i="1"/>
  <c r="E82" i="1" s="1"/>
  <c r="D83" i="1"/>
  <c r="D82" i="1" s="1"/>
  <c r="I81" i="1"/>
  <c r="I79" i="1" s="1"/>
  <c r="I94" i="1" s="1"/>
  <c r="H81" i="1"/>
  <c r="G81" i="1"/>
  <c r="F81" i="1"/>
  <c r="F79" i="1" s="1"/>
  <c r="I80" i="1"/>
  <c r="H80" i="1"/>
  <c r="H79" i="1" s="1"/>
  <c r="H94" i="1" s="1"/>
  <c r="G80" i="1"/>
  <c r="G79" i="1" s="1"/>
  <c r="F80" i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H52" i="1"/>
  <c r="G52" i="1"/>
  <c r="G31" i="1" s="1"/>
  <c r="F52" i="1"/>
  <c r="F31" i="1" s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G34" i="1"/>
  <c r="F33" i="1"/>
  <c r="E33" i="1"/>
  <c r="D33" i="1"/>
  <c r="I32" i="1"/>
  <c r="H32" i="1"/>
  <c r="G32" i="1"/>
  <c r="F32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I27" i="1"/>
  <c r="H27" i="1"/>
  <c r="G27" i="1"/>
  <c r="F27" i="1"/>
  <c r="E26" i="1"/>
  <c r="D26" i="1"/>
  <c r="D25" i="1" s="1"/>
  <c r="E25" i="1"/>
  <c r="I24" i="1"/>
  <c r="H24" i="1"/>
  <c r="G24" i="1"/>
  <c r="F24" i="1"/>
  <c r="I23" i="1"/>
  <c r="H23" i="1"/>
  <c r="H22" i="1" s="1"/>
  <c r="G23" i="1"/>
  <c r="G22" i="1" s="1"/>
  <c r="F23" i="1"/>
  <c r="I22" i="1"/>
  <c r="F22" i="1"/>
  <c r="E22" i="1"/>
  <c r="E42" i="1" s="1"/>
  <c r="D22" i="1"/>
  <c r="D42" i="1" s="1"/>
  <c r="H16" i="1"/>
  <c r="F16" i="1"/>
  <c r="D16" i="1"/>
  <c r="I26" i="1" l="1"/>
  <c r="I25" i="1" s="1"/>
  <c r="I42" i="1" s="1"/>
  <c r="F26" i="1"/>
  <c r="F25" i="1" s="1"/>
  <c r="F42" i="1" s="1"/>
  <c r="G33" i="1"/>
  <c r="H33" i="1" s="1"/>
  <c r="F304" i="1"/>
  <c r="G304" i="1" s="1"/>
  <c r="G294" i="1"/>
  <c r="F94" i="1"/>
  <c r="D137" i="1"/>
  <c r="E169" i="1"/>
  <c r="G169" i="1"/>
  <c r="F137" i="1"/>
  <c r="H262" i="1"/>
  <c r="H273" i="1" s="1"/>
  <c r="H31" i="1"/>
  <c r="G26" i="1"/>
  <c r="H26" i="1"/>
  <c r="I137" i="1"/>
  <c r="G94" i="1"/>
  <c r="G215" i="1"/>
  <c r="F219" i="1"/>
  <c r="G219" i="1"/>
  <c r="H304" i="1"/>
  <c r="E304" i="1"/>
  <c r="G126" i="1"/>
  <c r="G120" i="1" s="1"/>
  <c r="G137" i="1" s="1"/>
  <c r="F206" i="1"/>
  <c r="G206" i="1" s="1"/>
  <c r="G323" i="1"/>
  <c r="G324" i="1" s="1"/>
  <c r="H116" i="1"/>
  <c r="H115" i="1" s="1"/>
  <c r="H123" i="1"/>
  <c r="H121" i="1" s="1"/>
  <c r="H120" i="1" s="1"/>
  <c r="G160" i="1"/>
  <c r="G25" i="1" l="1"/>
  <c r="G42" i="1" s="1"/>
  <c r="H25" i="1"/>
  <c r="H42" i="1" s="1"/>
  <c r="H137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<sst xmlns="http://schemas.openxmlformats.org/spreadsheetml/2006/main" count="393" uniqueCount="167">
  <si>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</si>
  <si>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</si>
  <si>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</si>
  <si>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</si>
  <si>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</si>
  <si>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</si>
  <si>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</si>
  <si>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</si>
  <si>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</si>
  <si>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</si>
  <si>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</si>
  <si>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</si>
  <si>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</si>
  <si>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</si>
  <si>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</si>
  <si>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</si>
  <si>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</si>
  <si>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</si>
  <si>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</si>
  <si>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</si>
  <si>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</si>
  <si>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</si>
  <si>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</si>
  <si>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</si>
  <si>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</si>
  <si>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</si>
  <si>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</si>
  <si>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</si>
  <si>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</si>
  <si>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</si>
  <si>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</si>
  <si>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</si>
  <si>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</si>
  <si>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</si>
  <si>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</si>
  <si>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</si>
  <si>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</si>
  <si>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</si>
  <si>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</si>
  <si>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</si>
  <si>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</si>
  <si>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</si>
  <si>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</si>
  <si>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</si>
  <si>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</si>
  <si>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</si>
  <si>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</si>
  <si>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</si>
  <si>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</si>
  <si>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</si>
  <si>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</si>
  <si>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</si>
  <si>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</si>
  <si>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</si>
  <si>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</si>
  <si>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</si>
  <si>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</si>
  <si>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</si>
  <si>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</si>
  <si>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</si>
  <si>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</si>
  <si>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</si>
  <si>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</si>
  <si>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</si>
  <si>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</si>
  <si>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</si>
  <si>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</si>
  <si>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</si>
  <si>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</si>
  <si>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</si>
  <si>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</si>
  <si>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</si>
  <si>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</si>
  <si>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</si>
  <si>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</si>
  <si>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</si>
  <si>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</si>
  <si>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</si>
  <si>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</si>
  <si>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</si>
  <si>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</si>
  <si>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</si>
  <si>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</si>
  <si>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</si>
  <si>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</si>
  <si>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</si>
  <si>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</si>
  <si>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</si>
  <si>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</si>
  <si>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</si>
  <si>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</si>
  <si>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</si>
  <si>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</si>
  <si>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</si>
  <si>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</si>
  <si>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</si>
  <si>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</si>
  <si>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</si>
  <si>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</si>
  <si>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</si>
  <si>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</si>
  <si>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</si>
  <si>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</si>
  <si>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</si>
  <si>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</si>
  <si>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</si>
  <si>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</si>
  <si>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</si>
  <si>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</si>
  <si>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</si>
  <si>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</si>
  <si>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</si>
  <si>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</si>
  <si>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</si>
  <si>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</si>
  <si>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</si>
  <si>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</si>
  <si>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</si>
  <si>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</si>
  <si>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</si>
  <si>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</si>
  <si>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</si>
  <si>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</si>
  <si>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</si>
  <si>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</si>
  <si>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</si>
  <si>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</si>
  <si>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</si>
  <si>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</si>
  <si>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</si>
  <si>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</si>
  <si>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</si>
  <si>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</si>
  <si>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</si>
  <si>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</si>
  <si>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</si>
  <si>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</si>
  <si>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</si>
  <si>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</si>
  <si>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</si>
  <si>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</si>
  <si>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</si>
  <si>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</si>
  <si>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</si>
  <si>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</si>
  <si>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</si>
  <si>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</si>
  <si>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</si>
  <si>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</si>
  <si>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</si>
  <si>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</si>
  <si>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</si>
  <si>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</si>
  <si>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</si>
  <si>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</si>
  <si>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</si>
  <si>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</si>
  <si>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</si>
  <si>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</si>
  <si>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51 tonn, men det legges til grunn at hele avsetningen tas</t>
  </si>
  <si>
    <t>4 Registrert rekreasjonsfiske utgjør 376 tonn, men det legges til grunn at hele avsetningen tas</t>
  </si>
  <si>
    <t>3 Registrert rekreasjonsfiske utgjør 738 tonn, men det legges til grunn at hele avsetningen tas</t>
  </si>
  <si>
    <t>FANGST UKE 37</t>
  </si>
  <si>
    <t>FANGST T.O.M UKE 37</t>
  </si>
  <si>
    <t>RESTKVOTER UKE 37</t>
  </si>
  <si>
    <t>FANGST T.O.M UKE 37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</si>
  <si>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2 768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</si>
</sst>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49" zoomScale="112" zoomScaleNormal="55" zoomScaleSheetLayoutView="100" zoomScalePageLayoutView="85" workbookViewId="0">
      <selection activeCell="G124" sqref="G124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1216.2105000000001</v>
      </c>
      <c r="G22" s="27">
        <f t="shared" si="0"/>
        <v>24278.717080000002</v>
      </c>
      <c r="H22" s="10">
        <f t="shared" si="0"/>
        <v>17307.282919999998</v>
      </c>
      <c r="I22" s="10">
        <f t="shared" si="0"/>
        <v>39573.777289999998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1215.093</f>
        <v>1215.0930000000001</v>
      </c>
      <c r="G23" s="22">
        <f>23881.34143</f>
        <v>23881.34143</v>
      </c>
      <c r="H23" s="22">
        <f>E23-G23</f>
        <v>16941.65857</v>
      </c>
      <c r="I23" s="22">
        <f>39047.45471</f>
        <v>39047.454709999998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1.1175</f>
        <v>1.1174999999999999</v>
      </c>
      <c r="G24" s="22">
        <f>397.37565</f>
        <v>397.37565000000001</v>
      </c>
      <c r="H24" s="22">
        <f>E24-G24</f>
        <v>365.62434999999999</v>
      </c>
      <c r="I24" s="22">
        <f>526.32258</f>
        <v>526.32258000000002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324.87668000000002</v>
      </c>
      <c r="G25" s="10">
        <f t="shared" si="1"/>
        <v>105341.68893</v>
      </c>
      <c r="H25" s="10">
        <f t="shared" si="1"/>
        <v>16326.31107</v>
      </c>
      <c r="I25" s="10">
        <f t="shared" si="1"/>
        <v>124622.80254999999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271.88300000000004</v>
      </c>
      <c r="G26" s="129">
        <f>G27+G28+G29+G30+G31</f>
        <v>84525.042679999999</v>
      </c>
      <c r="H26" s="129">
        <f t="shared" ref="H26:I26" si="2">H27+H28+H29+H30+H31</f>
        <v>10367.95732</v>
      </c>
      <c r="I26" s="129">
        <f t="shared" si="2"/>
        <v>101549.40121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56.07797 - F53</f>
        <v>14.077970000000001</v>
      </c>
      <c r="G27" s="123">
        <f>23105.7307 - G53</f>
        <v>22683.7307</v>
      </c>
      <c r="H27" s="123">
        <f t="shared" ref="H27:H39" si="3">E27-G27</f>
        <v>2469.2692999999999</v>
      </c>
      <c r="I27" s="123">
        <f>26427.34764 - I53</f>
        <v>25809.34764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130.61349 - F54</f>
        <v>73.613490000000013</v>
      </c>
      <c r="G28" s="123">
        <f>23238.81693 - G54</f>
        <v>22497.816930000001</v>
      </c>
      <c r="H28" s="123">
        <f t="shared" si="3"/>
        <v>1496.1830699999991</v>
      </c>
      <c r="I28" s="123">
        <f>28515.828 - I54</f>
        <v>27573.828000000001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73.0466 - F55</f>
        <v>14.046599999999998</v>
      </c>
      <c r="G29" s="123">
        <f>22129.13715 - G55</f>
        <v>21162.137149999999</v>
      </c>
      <c r="H29" s="123">
        <f t="shared" si="3"/>
        <v>707.86285000000134</v>
      </c>
      <c r="I29" s="123">
        <f>26792.89106 - I55</f>
        <v>25655.891060000002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12.14494 - F56</f>
        <v>3.1449400000000001</v>
      </c>
      <c r="G30" s="123">
        <f>16051.3579 - G56</f>
        <v>15419.357900000001</v>
      </c>
      <c r="H30" s="123">
        <f t="shared" si="3"/>
        <v>225.64209999999912</v>
      </c>
      <c r="I30" s="123">
        <f>19813.33451 - I56</f>
        <v>18858.334510000001</v>
      </c>
      <c r="J30" s="63"/>
    </row>
    <row r="31" spans="1:10" ht="14.1" customHeight="1" x14ac:dyDescent="0.2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167</v>
      </c>
      <c r="G31" s="123">
        <f>G52</f>
        <v>2762</v>
      </c>
      <c r="H31" s="123">
        <f>E31-G31</f>
        <v>5469</v>
      </c>
      <c r="I31" s="123">
        <f>I52</f>
        <v>3652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55">
        <v>13679</v>
      </c>
      <c r="F32" s="129">
        <f>0.39118</f>
        <v>0.39118000000000003</v>
      </c>
      <c r="G32" s="129">
        <f>9416.57064</f>
        <v>9416.5706399999999</v>
      </c>
      <c r="H32" s="129">
        <f t="shared" si="3"/>
        <v>4262.4293600000001</v>
      </c>
      <c r="I32" s="129">
        <f>11008.34927</f>
        <v>11008.349270000001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52.602500000000006</v>
      </c>
      <c r="G33" s="129">
        <f>G34+G35</f>
        <v>11400.07561</v>
      </c>
      <c r="H33" s="129">
        <f t="shared" si="3"/>
        <v>1695.9243900000001</v>
      </c>
      <c r="I33" s="129">
        <f>I34+I35</f>
        <v>12065.05207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61">
        <v>12136</v>
      </c>
      <c r="F34" s="123">
        <f>65.6025 - F57 - F58</f>
        <v>7.6025000000000063</v>
      </c>
      <c r="G34" s="129">
        <f>13481.07561 - G57 - G58</f>
        <v>11019.07561</v>
      </c>
      <c r="H34" s="123">
        <f>E34-G34</f>
        <v>1116.9243900000001</v>
      </c>
      <c r="I34" s="123">
        <f>14879.05207 - I57 - I58</f>
        <v>11652.05207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45</v>
      </c>
      <c r="G35" s="67">
        <f>G57</f>
        <v>381</v>
      </c>
      <c r="H35" s="67">
        <f t="shared" si="3"/>
        <v>579</v>
      </c>
      <c r="I35" s="67">
        <f>I57</f>
        <v>413</v>
      </c>
      <c r="J35" s="63"/>
    </row>
    <row r="36" spans="1:10" ht="15.75" customHeight="1" x14ac:dyDescent="0.2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33</v>
      </c>
      <c r="D37" s="140">
        <v>855</v>
      </c>
      <c r="E37" s="140">
        <v>855</v>
      </c>
      <c r="F37" s="95">
        <f>1.63468</f>
        <v>1.6346799999999999</v>
      </c>
      <c r="G37" s="95">
        <f>575.22999</f>
        <v>575.22999000000004</v>
      </c>
      <c r="H37" s="95">
        <f t="shared" si="3"/>
        <v>279.77000999999996</v>
      </c>
      <c r="I37" s="95">
        <f>480.17923</f>
        <v>480.17923000000002</v>
      </c>
      <c r="J37" s="267"/>
    </row>
    <row r="38" spans="1:10" ht="17.25" customHeight="1" x14ac:dyDescent="0.2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13</v>
      </c>
      <c r="G38" s="95">
        <f>G58</f>
        <v>2081</v>
      </c>
      <c r="H38" s="95">
        <f t="shared" si="3"/>
        <v>919</v>
      </c>
      <c r="I38" s="95">
        <f>I58</f>
        <v>2814</v>
      </c>
      <c r="J38" s="267"/>
    </row>
    <row r="39" spans="1:10" ht="17.25" customHeight="1" x14ac:dyDescent="0.25">
      <c r="A39" s="1"/>
      <c r="B39" s="277"/>
      <c r="C39" s="70" t="s">
        <v>35</v>
      </c>
      <c r="D39" s="140">
        <v>7000</v>
      </c>
      <c r="E39" s="140">
        <v>7000</v>
      </c>
      <c r="F39" s="95">
        <f>2.86123</f>
        <v>2.8612299999999999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37</v>
      </c>
      <c r="D40" s="140">
        <v>450</v>
      </c>
      <c r="E40" s="140">
        <v>450</v>
      </c>
      <c r="F40" s="95">
        <f>0.7337</f>
        <v>0.73370000000000002</v>
      </c>
      <c r="G40" s="95">
        <f>384.00804</f>
        <v>384.00803999999999</v>
      </c>
      <c r="H40" s="95">
        <f>E40-G40</f>
        <v>65.991960000000006</v>
      </c>
      <c r="I40" s="95">
        <f>338.10592</f>
        <v>338.10592000000003</v>
      </c>
      <c r="J40" s="267"/>
    </row>
    <row r="41" spans="1:10" ht="14.1" customHeight="1" x14ac:dyDescent="0.25">
      <c r="A41" s="1"/>
      <c r="B41" s="277"/>
      <c r="C41" s="70" t="s">
        <v>38</v>
      </c>
      <c r="D41" s="140"/>
      <c r="E41" s="136"/>
      <c r="F41" s="136">
        <f>0</f>
        <v>0</v>
      </c>
      <c r="G41" s="136">
        <f>101.50363</f>
        <v>101.50363</v>
      </c>
      <c r="H41" s="136">
        <f t="shared" ref="H41" si="4">E41-G41</f>
        <v>-101.50363</v>
      </c>
      <c r="I41" s="136">
        <f>85.52126</f>
        <v>85.521259999999998</v>
      </c>
      <c r="J41" s="267"/>
    </row>
    <row r="42" spans="1:10" ht="16.5" customHeight="1" x14ac:dyDescent="0.2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1559.3167900000001</v>
      </c>
      <c r="G42" s="73">
        <f t="shared" si="5"/>
        <v>140042.40406999999</v>
      </c>
      <c r="H42" s="73">
        <f t="shared" si="5"/>
        <v>35516.595929999996</v>
      </c>
      <c r="I42" s="73">
        <f t="shared" si="5"/>
        <v>175262.74745000002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167</v>
      </c>
      <c r="G52" s="10">
        <f>G56+G55+G54+G53</f>
        <v>2762</v>
      </c>
      <c r="H52" s="329">
        <f>E52-G52</f>
        <v>5469</v>
      </c>
      <c r="I52" s="10">
        <f>I56+I55+I54+I53</f>
        <v>3652</v>
      </c>
      <c r="J52" s="117"/>
    </row>
    <row r="53" spans="1:10" ht="14.1" customHeight="1" x14ac:dyDescent="0.25">
      <c r="A53" s="101"/>
      <c r="B53" s="24"/>
      <c r="C53" s="60" t="s">
        <v>24</v>
      </c>
      <c r="D53" s="330"/>
      <c r="E53" s="330"/>
      <c r="F53" s="123">
        <v>42</v>
      </c>
      <c r="G53" s="123">
        <v>422</v>
      </c>
      <c r="H53" s="330"/>
      <c r="I53" s="123">
        <v>618</v>
      </c>
      <c r="J53" s="117"/>
    </row>
    <row r="54" spans="1:10" ht="14.1" customHeight="1" x14ac:dyDescent="0.25">
      <c r="A54" s="101"/>
      <c r="B54" s="24"/>
      <c r="C54" s="60" t="s">
        <v>25</v>
      </c>
      <c r="D54" s="330"/>
      <c r="E54" s="330"/>
      <c r="F54" s="123">
        <v>57</v>
      </c>
      <c r="G54" s="123">
        <v>741</v>
      </c>
      <c r="H54" s="330"/>
      <c r="I54" s="123">
        <v>942</v>
      </c>
      <c r="J54" s="267"/>
    </row>
    <row r="55" spans="1:10" ht="14.1" customHeight="1" x14ac:dyDescent="0.25">
      <c r="A55" s="101"/>
      <c r="B55" s="24"/>
      <c r="C55" s="60" t="s">
        <v>26</v>
      </c>
      <c r="D55" s="330"/>
      <c r="E55" s="330"/>
      <c r="F55" s="123">
        <v>59</v>
      </c>
      <c r="G55" s="123">
        <v>967</v>
      </c>
      <c r="H55" s="330"/>
      <c r="I55" s="123">
        <v>1137</v>
      </c>
      <c r="J55" s="117"/>
    </row>
    <row r="56" spans="1:10" ht="14.1" customHeight="1" x14ac:dyDescent="0.25">
      <c r="A56" s="101"/>
      <c r="B56" s="24"/>
      <c r="C56" s="84" t="s">
        <v>27</v>
      </c>
      <c r="D56" s="331"/>
      <c r="E56" s="331"/>
      <c r="F56" s="186">
        <v>9</v>
      </c>
      <c r="G56" s="186">
        <v>632</v>
      </c>
      <c r="H56" s="331"/>
      <c r="I56" s="186">
        <v>955</v>
      </c>
      <c r="J56" s="117"/>
    </row>
    <row r="57" spans="1:10" ht="14.1" customHeight="1" x14ac:dyDescent="0.25">
      <c r="A57" s="101"/>
      <c r="B57" s="24"/>
      <c r="C57" s="85" t="s">
        <v>43</v>
      </c>
      <c r="D57" s="92">
        <v>960</v>
      </c>
      <c r="E57" s="92">
        <v>960</v>
      </c>
      <c r="F57" s="92">
        <v>45</v>
      </c>
      <c r="G57" s="92">
        <v>381</v>
      </c>
      <c r="H57" s="92">
        <f>E57-G57</f>
        <v>579</v>
      </c>
      <c r="I57" s="92">
        <v>413</v>
      </c>
      <c r="J57" s="267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13</v>
      </c>
      <c r="G58" s="136">
        <v>2081</v>
      </c>
      <c r="H58" s="136">
        <f>E58-G58</f>
        <v>919</v>
      </c>
      <c r="I58" s="136">
        <v>2814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2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449.19279999999998</v>
      </c>
      <c r="G79" s="10">
        <f t="shared" si="6"/>
        <v>20814.802370000001</v>
      </c>
      <c r="H79" s="10">
        <f t="shared" si="6"/>
        <v>5326.1976299999997</v>
      </c>
      <c r="I79" s="10">
        <f t="shared" si="6"/>
        <v>23433.00649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444.4384</f>
        <v>444.4384</v>
      </c>
      <c r="G80" s="22">
        <f>20278.09375</f>
        <v>20278.09375</v>
      </c>
      <c r="H80" s="22">
        <f>E80-G80</f>
        <v>5037.90625</v>
      </c>
      <c r="I80" s="22">
        <f>22640.98974</f>
        <v>22640.989740000001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4.7544</f>
        <v>4.7544000000000004</v>
      </c>
      <c r="G81" s="48">
        <f>536.70862</f>
        <v>536.70862</v>
      </c>
      <c r="H81" s="48">
        <f>E81-G81</f>
        <v>288.29138</v>
      </c>
      <c r="I81" s="48">
        <f>792.01675</f>
        <v>792.01675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546.3766599999999</v>
      </c>
      <c r="G82" s="10">
        <f t="shared" si="7"/>
        <v>32534.534019999999</v>
      </c>
      <c r="H82" s="10">
        <f t="shared" si="7"/>
        <v>11594.465979999997</v>
      </c>
      <c r="I82" s="10">
        <f t="shared" si="7"/>
        <v>39345.197040000006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457.12717999999995</v>
      </c>
      <c r="G83" s="129">
        <f t="shared" si="8"/>
        <v>26136.95781</v>
      </c>
      <c r="H83" s="129">
        <f t="shared" si="8"/>
        <v>6368.0421899999992</v>
      </c>
      <c r="I83" s="129">
        <f t="shared" si="8"/>
        <v>31772.308700000001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102.07468</f>
        <v>102.07468</v>
      </c>
      <c r="G84" s="123">
        <f>3442.4438</f>
        <v>3442.4438</v>
      </c>
      <c r="H84" s="123">
        <f t="shared" ref="H84:H91" si="9">E84-G84</f>
        <v>5561.5562</v>
      </c>
      <c r="I84" s="123">
        <f>4894.17453</f>
        <v>4894.1745300000002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61">
        <v>9075</v>
      </c>
      <c r="F85" s="123">
        <f>183.27749</f>
        <v>183.27749</v>
      </c>
      <c r="G85" s="123">
        <f>6960.47507</f>
        <v>6960.4750700000004</v>
      </c>
      <c r="H85" s="123">
        <f t="shared" si="9"/>
        <v>2114.5249299999996</v>
      </c>
      <c r="I85" s="123">
        <f>10372.88658</f>
        <v>10372.88658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61">
        <v>8649</v>
      </c>
      <c r="F86" s="123">
        <f>156.19305</f>
        <v>156.19305</v>
      </c>
      <c r="G86" s="123">
        <f>8179.9204</f>
        <v>8179.9204</v>
      </c>
      <c r="H86" s="123">
        <f t="shared" si="9"/>
        <v>469.07960000000003</v>
      </c>
      <c r="I86" s="123">
        <f>9756.30426</f>
        <v>9756.3042600000008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15.58196</f>
        <v>15.58196</v>
      </c>
      <c r="G87" s="123">
        <f>7554.11854</f>
        <v>7554.1185400000004</v>
      </c>
      <c r="H87" s="123">
        <f t="shared" si="9"/>
        <v>-1777.1185400000004</v>
      </c>
      <c r="I87" s="123">
        <f>6748.94333</f>
        <v>6748.9433300000001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55">
        <v>8117</v>
      </c>
      <c r="F88" s="129">
        <f>0.44656</f>
        <v>0.44656000000000001</v>
      </c>
      <c r="G88" s="129">
        <f>4814.44534</f>
        <v>4814.4453400000002</v>
      </c>
      <c r="H88" s="129">
        <f t="shared" si="9"/>
        <v>3302.5546599999998</v>
      </c>
      <c r="I88" s="129">
        <f>5376.48851</f>
        <v>5376.4885100000001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88.80292</f>
        <v>88.80292</v>
      </c>
      <c r="G89" s="72">
        <f>1583.13087</f>
        <v>1583.13087</v>
      </c>
      <c r="H89" s="72">
        <f t="shared" si="9"/>
        <v>1923.86913</v>
      </c>
      <c r="I89" s="72">
        <f>2196.39983</f>
        <v>2196.3998299999998</v>
      </c>
      <c r="J89" s="267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0.0052</f>
        <v>5.1999999999999998E-3</v>
      </c>
      <c r="G90" s="95">
        <f>37.10235</f>
        <v>37.102350000000001</v>
      </c>
      <c r="H90" s="95">
        <f t="shared" si="9"/>
        <v>281.89765</v>
      </c>
      <c r="I90" s="95">
        <f>36.10176</f>
        <v>36.101759999999999</v>
      </c>
      <c r="J90" s="267"/>
    </row>
    <row r="91" spans="1:10" ht="18" customHeight="1" x14ac:dyDescent="0.25">
      <c r="A91" s="1"/>
      <c r="B91" s="277"/>
      <c r="C91" s="70" t="s">
        <v>51</v>
      </c>
      <c r="D91" s="140">
        <v>300</v>
      </c>
      <c r="E91" s="140">
        <v>300</v>
      </c>
      <c r="F91" s="136">
        <f>0.20028</f>
        <v>0.20028000000000001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37</v>
      </c>
      <c r="D92" s="140">
        <v>50</v>
      </c>
      <c r="E92" s="140">
        <v>50</v>
      </c>
      <c r="F92" s="95">
        <f>0</f>
        <v>0</v>
      </c>
      <c r="G92" s="95">
        <f>12.70886</f>
        <v>12.70886</v>
      </c>
      <c r="H92" s="136">
        <f>E92-G92</f>
        <v>37.291139999999999</v>
      </c>
      <c r="I92" s="95">
        <f>27.98255</f>
        <v>27.98255</v>
      </c>
      <c r="J92" s="267"/>
    </row>
    <row r="93" spans="1:10" ht="18" customHeight="1" x14ac:dyDescent="0.25">
      <c r="A93" s="1"/>
      <c r="B93" s="277"/>
      <c r="C93" s="89" t="s">
        <v>52</v>
      </c>
      <c r="D93" s="140"/>
      <c r="E93" s="136"/>
      <c r="F93" s="136">
        <f>0</f>
        <v>0</v>
      </c>
      <c r="G93" s="136">
        <f>12.88736</f>
        <v>12.887359999999999</v>
      </c>
      <c r="H93" s="136">
        <f t="shared" ref="H93" si="10">E93-G93</f>
        <v>-12.887359999999999</v>
      </c>
      <c r="I93" s="136">
        <f>16.09444</f>
        <v>16.094439999999999</v>
      </c>
      <c r="J93" s="267"/>
    </row>
    <row r="94" spans="1:10" ht="16.5" customHeight="1" x14ac:dyDescent="0.2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995.7749399999999</v>
      </c>
      <c r="G94" s="73">
        <f t="shared" si="12"/>
        <v>53712.034959999997</v>
      </c>
      <c r="H94" s="73">
        <f t="shared" si="12"/>
        <v>17226.965039999995</v>
      </c>
      <c r="I94" s="73">
        <f t="shared" si="12"/>
        <v>63158.382280000005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1161.41985</v>
      </c>
      <c r="G115" s="10">
        <f t="shared" si="13"/>
        <v>36885.13033</v>
      </c>
      <c r="H115" s="10">
        <f t="shared" si="13"/>
        <v>34129.86967</v>
      </c>
      <c r="I115" s="10">
        <f t="shared" si="13"/>
        <v>44907.999949999998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835.0992</f>
        <v>835.0992</v>
      </c>
      <c r="G116" s="22">
        <f>32727.00999</f>
        <v>32727.009989999999</v>
      </c>
      <c r="H116" s="22">
        <f>E116-G116</f>
        <v>23722.990010000001</v>
      </c>
      <c r="I116" s="22">
        <f>39394.87721</f>
        <v>39394.877209999999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326.32065</f>
        <v>326.32065</v>
      </c>
      <c r="G117" s="22">
        <f>4092.76274</f>
        <v>4092.7627400000001</v>
      </c>
      <c r="H117" s="22">
        <f>E117-G117</f>
        <v>9972.2372599999999</v>
      </c>
      <c r="I117" s="22">
        <f>5447.39559</f>
        <v>5447.3955900000001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65.72715</f>
        <v>65.727149999999995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516.049</f>
        <v>516.04899999999998</v>
      </c>
      <c r="G119" s="92">
        <f>29334.7773+2767.5735</f>
        <v>32102.3508</v>
      </c>
      <c r="H119" s="92">
        <f>E119-G119</f>
        <v>19327.6492</v>
      </c>
      <c r="I119" s="92">
        <f>15808.1918</f>
        <v>15808.191800000001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772.65802000000008</v>
      </c>
      <c r="G120" s="91">
        <f t="shared" ref="G120" si="14">G121+G126+G129</f>
        <v>41788.775820000003</v>
      </c>
      <c r="H120" s="91">
        <f>H121+H126+H129</f>
        <v>33256.224179999997</v>
      </c>
      <c r="I120" s="91">
        <f>I121+I126+I129</f>
        <v>59967.069349999998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595.18439000000001</v>
      </c>
      <c r="G121" s="121">
        <f>G122+G123+G125+G124</f>
        <v>30837.192870000003</v>
      </c>
      <c r="H121" s="121">
        <f>H122+H123+H124+H125</f>
        <v>25521.807130000001</v>
      </c>
      <c r="I121" s="121">
        <f>I122+I123+I124+I125</f>
        <v>45688.5671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144.33577</f>
        <v>144.33577</v>
      </c>
      <c r="G122" s="123">
        <f>7469.01028</f>
        <v>7469.0102800000004</v>
      </c>
      <c r="H122" s="123">
        <f>E122-G122</f>
        <v>8546.9897199999996</v>
      </c>
      <c r="I122" s="123">
        <f>8955.68577</f>
        <v>8955.68577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88.72516</f>
        <v>88.725160000000002</v>
      </c>
      <c r="G123" s="123">
        <f>8823.50046-90.3717</f>
        <v>8733.1287599999996</v>
      </c>
      <c r="H123" s="123">
        <f>E123-G123</f>
        <v>6120.8712400000004</v>
      </c>
      <c r="I123" s="123">
        <f>12159.44135</f>
        <v>12159.441349999999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198.27866</f>
        <v>198.27866</v>
      </c>
      <c r="G124" s="123">
        <f>8028.63131-471.909</f>
        <v>7556.7223100000001</v>
      </c>
      <c r="H124" s="123">
        <f>E124-G124</f>
        <v>5315.2776899999999</v>
      </c>
      <c r="I124" s="123">
        <f>12042.53688</f>
        <v>12042.53688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163.8448</f>
        <v>163.84479999999999</v>
      </c>
      <c r="G125" s="123">
        <f>9283.62432-2205.2928</f>
        <v>7078.3315200000006</v>
      </c>
      <c r="H125" s="123">
        <f>E125-G125</f>
        <v>5538.6684799999994</v>
      </c>
      <c r="I125" s="123">
        <f>12530.9031</f>
        <v>12530.9031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0.95635999999999999</v>
      </c>
      <c r="G126" s="129">
        <f>SUM(G127:G128)</f>
        <v>6203.1671300000007</v>
      </c>
      <c r="H126" s="129">
        <f>H127+H128</f>
        <v>1538.8328699999997</v>
      </c>
      <c r="I126" s="129">
        <f>SUM(I127:I128)</f>
        <v>8902.5282399999996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0.32036</f>
        <v>0.32035999999999998</v>
      </c>
      <c r="G127" s="123">
        <f>6038.88294</f>
        <v>6038.8829400000004</v>
      </c>
      <c r="H127" s="123">
        <f t="shared" ref="H127:H135" si="15">E127-G127</f>
        <v>1203.1170599999996</v>
      </c>
      <c r="I127" s="123">
        <f>8471.01749</f>
        <v>8471.0174900000002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0.636</f>
        <v>0.63600000000000001</v>
      </c>
      <c r="G128" s="123">
        <f>164.28419</f>
        <v>164.28419</v>
      </c>
      <c r="H128" s="123">
        <f t="shared" si="15"/>
        <v>335.71581000000003</v>
      </c>
      <c r="I128" s="123">
        <f>431.51075</f>
        <v>431.51074999999997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176.51727</f>
        <v>176.51727</v>
      </c>
      <c r="G129" s="72">
        <f>4748.41582</f>
        <v>4748.4158200000002</v>
      </c>
      <c r="H129" s="72">
        <f t="shared" si="15"/>
        <v>6195.5841799999998</v>
      </c>
      <c r="I129" s="72">
        <f>5375.97401</f>
        <v>5375.9740099999999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0.5346</f>
        <v>0.53459999999999996</v>
      </c>
      <c r="G130" s="136">
        <f>17.52915</f>
        <v>17.529150000000001</v>
      </c>
      <c r="H130" s="136">
        <f t="shared" si="15"/>
        <v>128.47084999999998</v>
      </c>
      <c r="I130" s="136">
        <f>15.71255</f>
        <v>15.71255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5.3478</f>
        <v>5.3478000000000003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0.0811</f>
        <v>8.1100000000000005E-2</v>
      </c>
      <c r="G134" s="95">
        <f>88.2331</f>
        <v>88.233099999999993</v>
      </c>
      <c r="H134" s="136">
        <f t="shared" si="15"/>
        <v>224.76690000000002</v>
      </c>
      <c r="I134" s="95">
        <f>46.72741</f>
        <v>46.727409999999999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0.062</f>
        <v>6.2E-2</v>
      </c>
      <c r="G135" s="136">
        <f>92.03029</f>
        <v>92.030289999999994</v>
      </c>
      <c r="H135" s="136">
        <f t="shared" si="15"/>
        <v>-92.030289999999994</v>
      </c>
      <c r="I135" s="136">
        <f>119.86524</f>
        <v>119.86524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2456.1523699999998</v>
      </c>
      <c r="G137" s="73">
        <f>G115+G119+G120+G130+G131+G132+G133+G134+G135</f>
        <v>112975.05049000001</v>
      </c>
      <c r="H137" s="73">
        <f>H115+H119+H120+H130+H131+H132+H133+H134+H135</f>
        <v>87323.949509999991</v>
      </c>
      <c r="I137" s="73">
        <f>I115+I119+I120+I130+I131+I132+I133+I134+I135</f>
        <v>123121.6023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3.35946</f>
        <v>3.3594599999999999</v>
      </c>
      <c r="F160" s="297">
        <f>916.70715</f>
        <v>916.70714999999996</v>
      </c>
      <c r="G160" s="42">
        <f>D160-F160-F161</f>
        <v>1634.9010399999997</v>
      </c>
      <c r="H160" s="297">
        <f>866.80505</f>
        <v>866.80505000000005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0</f>
        <v>0</v>
      </c>
      <c r="F161" s="148">
        <f>1210.39181</f>
        <v>1210.3918100000001</v>
      </c>
      <c r="G161" s="219"/>
      <c r="H161" s="148">
        <f>1378.13793</f>
        <v>1378.1379300000001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0</f>
        <v>0</v>
      </c>
      <c r="F162" s="166">
        <f>87.07278</f>
        <v>87.072779999999995</v>
      </c>
      <c r="G162" s="166">
        <f>D162-F162</f>
        <v>112.92722000000001</v>
      </c>
      <c r="H162" s="166">
        <f>92.05701</f>
        <v>92.057010000000005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21.521910000000002</v>
      </c>
      <c r="F163" s="175">
        <f>F164+F165+F166</f>
        <v>5383.7584499999994</v>
      </c>
      <c r="G163" s="175">
        <f>D163-F163</f>
        <v>258.24155000000064</v>
      </c>
      <c r="H163" s="175">
        <f>H164+H165+H166</f>
        <v>5927.4615599999997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6.49306</f>
        <v>6.4930599999999998</v>
      </c>
      <c r="F164" s="123">
        <f>3059.57347</f>
        <v>3059.5734699999998</v>
      </c>
      <c r="G164" s="123"/>
      <c r="H164" s="123">
        <f>3085.34158</f>
        <v>3085.3415799999998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13.03891</f>
        <v>13.03891</v>
      </c>
      <c r="F165" s="123">
        <f>1545.68068</f>
        <v>1545.6806799999999</v>
      </c>
      <c r="G165" s="123"/>
      <c r="H165" s="123">
        <f>1792.59602</f>
        <v>1792.59602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1.98994</f>
        <v>1.98994</v>
      </c>
      <c r="F166" s="186">
        <f>778.5043</f>
        <v>778.50429999999994</v>
      </c>
      <c r="G166" s="186"/>
      <c r="H166" s="186">
        <f>1049.52396</f>
        <v>1049.52396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24.88137</v>
      </c>
      <c r="F169" s="188">
        <f>F160+F161+F162+F163+F167+F168</f>
        <v>7603.2832899999994</v>
      </c>
      <c r="G169" s="188">
        <f>D169-F169</f>
        <v>2071.7167100000006</v>
      </c>
      <c r="H169" s="188">
        <f>H160+H161+H162+H163+H167+H168</f>
        <v>8264.46155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569.47817</f>
        <v>569.47816999999998</v>
      </c>
      <c r="G189" s="124">
        <f>42695.11631</f>
        <v>42695.116309999998</v>
      </c>
      <c r="H189" s="124">
        <f>E189-G189</f>
        <v>639.88369000000239</v>
      </c>
      <c r="I189" s="124">
        <f>39050.16328</f>
        <v>39050.163280000001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0.7604</f>
        <v>0.76039999999999996</v>
      </c>
      <c r="G190" s="124">
        <f>36.24934</f>
        <v>36.249339999999997</v>
      </c>
      <c r="H190" s="124">
        <f>E190-G190</f>
        <v>63.750660000000003</v>
      </c>
      <c r="I190" s="124">
        <f>38.77192</f>
        <v>38.771920000000001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570.23856999999998</v>
      </c>
      <c r="G192" s="190">
        <f>SUM(G189:G191)</f>
        <v>42731.36565</v>
      </c>
      <c r="H192" s="190">
        <f>E192-G192</f>
        <v>739.63435000000027</v>
      </c>
      <c r="I192" s="190">
        <f>SUM(I189:I191)</f>
        <v>39088.9352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16.184729999999998</v>
      </c>
      <c r="F202" s="72">
        <f>F203+F204</f>
        <v>3454.1217900000001</v>
      </c>
      <c r="G202" s="72">
        <f>D202-F202</f>
        <v>532.87820999999985</v>
      </c>
      <c r="H202" s="72">
        <f>H203+H204</f>
        <v>4010.1562299999996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2.34354</f>
        <v>2.34354</v>
      </c>
      <c r="F203" s="72">
        <f>2823.59441</f>
        <v>2823.5944100000002</v>
      </c>
      <c r="G203" s="72"/>
      <c r="H203" s="72">
        <f>3481.75834</f>
        <v>3481.7583399999999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13.84119</f>
        <v>13.841189999999999</v>
      </c>
      <c r="F204" s="124">
        <f>630.52738</f>
        <v>630.52737999999999</v>
      </c>
      <c r="G204" s="168"/>
      <c r="H204" s="124">
        <f>528.39789</f>
        <v>528.39788999999996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57.4489</f>
        <v>57.448900000000002</v>
      </c>
      <c r="F205" s="72">
        <f>4420.50507</f>
        <v>4420.5050700000002</v>
      </c>
      <c r="G205" s="72">
        <f>D205-F205</f>
        <v>192.49492999999984</v>
      </c>
      <c r="H205" s="72">
        <f>5123.16596</f>
        <v>5123.1659600000003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73.633629999999997</v>
      </c>
      <c r="F206" s="190">
        <f>SUM(F202,F205)</f>
        <v>7874.6268600000003</v>
      </c>
      <c r="G206" s="190">
        <f>D206-F206</f>
        <v>725.37313999999969</v>
      </c>
      <c r="H206" s="190">
        <f>SUM(H202,H205)</f>
        <v>9133.322189999999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5.20017</v>
      </c>
      <c r="F215" s="72">
        <f>F216+F217</f>
        <v>4636.1589800000002</v>
      </c>
      <c r="G215" s="72">
        <f>D215-F215</f>
        <v>453.84101999999984</v>
      </c>
      <c r="H215" s="72">
        <f>H216+H217</f>
        <v>4966.2714399999995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2.4489</f>
        <v>2.4489000000000001</v>
      </c>
      <c r="F216" s="72">
        <f>4310.69266</f>
        <v>4310.6926599999997</v>
      </c>
      <c r="G216" s="72"/>
      <c r="H216" s="72">
        <f>4510.16673</f>
        <v>4510.1667299999999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2.75127</f>
        <v>2.7512699999999999</v>
      </c>
      <c r="F217" s="124">
        <f>325.46632</f>
        <v>325.46632</v>
      </c>
      <c r="G217" s="168"/>
      <c r="H217" s="124">
        <f>456.10471</f>
        <v>456.10471000000001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70.29038</f>
        <v>70.290379999999999</v>
      </c>
      <c r="F218" s="72">
        <f>2085.83611</f>
        <v>2085.8361100000002</v>
      </c>
      <c r="G218" s="72">
        <f>D218-F218</f>
        <v>895.16388999999981</v>
      </c>
      <c r="H218" s="72">
        <f>2473.57991</f>
        <v>2473.5799099999999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75.490549999999999</v>
      </c>
      <c r="F219" s="190">
        <f>SUM(F215,F218)</f>
        <v>6721.9950900000003</v>
      </c>
      <c r="G219" s="190">
        <f>D219-F219</f>
        <v>1349.0049099999997</v>
      </c>
      <c r="H219" s="190">
        <f>SUM(H215,H218)</f>
        <v>7439.851349999999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2.73934</f>
        <v>2.7393399999999999</v>
      </c>
      <c r="F237" s="124">
        <f>434.51557</f>
        <v>434.51557000000003</v>
      </c>
      <c r="G237" s="124">
        <f>D237-F237</f>
        <v>365.48442999999997</v>
      </c>
      <c r="H237" s="124">
        <f>509.51542</f>
        <v>509.51542000000001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33.04846</f>
        <v>33.048459999999999</v>
      </c>
      <c r="F238" s="124">
        <f>971.08913</f>
        <v>971.08912999999995</v>
      </c>
      <c r="G238" s="124">
        <f>D238-F238</f>
        <v>1221.9108700000002</v>
      </c>
      <c r="H238" s="124">
        <f>2038.01333</f>
        <v>2038.01333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0.112</f>
        <v>0.112</v>
      </c>
      <c r="F240" s="168">
        <f>3.02253</f>
        <v>3.0225300000000002</v>
      </c>
      <c r="G240" s="124">
        <f>D240-F240</f>
        <v>-3.0225300000000002</v>
      </c>
      <c r="H240" s="168">
        <f>0.091</f>
        <v>9.0999999999999998E-2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35.899799999999999</v>
      </c>
      <c r="F241" s="190">
        <f>SUM(F237:F240)</f>
        <v>1411.6809299999998</v>
      </c>
      <c r="G241" s="190">
        <f>D241-F241</f>
        <v>1591.3190700000002</v>
      </c>
      <c r="H241" s="190">
        <f>H237+H238+H239+H240</f>
        <v>2551.22937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576.68081000000006</v>
      </c>
      <c r="G262" s="276">
        <f t="shared" si="17"/>
        <v>16866.937169999997</v>
      </c>
      <c r="H262" s="276">
        <f>H266+H265+H264+H263</f>
        <v>10869.062830000001</v>
      </c>
      <c r="I262" s="276">
        <f t="shared" si="17"/>
        <v>14131.103469999998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525.45645</f>
        <v>525.45645000000002</v>
      </c>
      <c r="G263" s="280">
        <f>10389.28754</f>
        <v>10389.287539999999</v>
      </c>
      <c r="H263" s="280">
        <f t="shared" ref="H263:H267" si="18">E263-G263</f>
        <v>6280.7124600000006</v>
      </c>
      <c r="I263" s="280">
        <f>8288.63726</f>
        <v>8288.6372599999995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29.025</f>
        <v>29.024999999999999</v>
      </c>
      <c r="G264" s="280">
        <f>2124.96427</f>
        <v>2124.9642699999999</v>
      </c>
      <c r="H264" s="280">
        <f>E264-G264</f>
        <v>2214.0357300000001</v>
      </c>
      <c r="I264" s="280">
        <f>1868.18502</f>
        <v>1868.1850199999999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13.71396</f>
        <v>13.71396</v>
      </c>
      <c r="G265" s="280">
        <f>1418.17617</f>
        <v>1418.17617</v>
      </c>
      <c r="H265" s="280">
        <f t="shared" si="18"/>
        <v>152.82383000000004</v>
      </c>
      <c r="I265" s="280">
        <f>1683.54933</f>
        <v>1683.5493300000001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8.4854</f>
        <v>8.4854000000000003</v>
      </c>
      <c r="G266" s="280">
        <f>2934.50919</f>
        <v>2934.5091900000002</v>
      </c>
      <c r="H266" s="280">
        <f t="shared" si="18"/>
        <v>2221.4908099999998</v>
      </c>
      <c r="I266" s="280">
        <f>2290.73186</f>
        <v>2290.7318599999999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0.158</f>
        <v>0.158</v>
      </c>
      <c r="G267" s="290">
        <f>4100.80224</f>
        <v>4100.80224</v>
      </c>
      <c r="H267" s="290">
        <f t="shared" si="18"/>
        <v>1399.19776</v>
      </c>
      <c r="I267" s="290">
        <f>2099.74678</f>
        <v>2099.7467799999999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153.19467</v>
      </c>
      <c r="G268" s="291">
        <f>G270+G269</f>
        <v>2576.28051</v>
      </c>
      <c r="H268" s="291">
        <f>E268-G268</f>
        <v>5423.7194899999995</v>
      </c>
      <c r="I268" s="291">
        <f>I270+I269</f>
        <v>2858.8950500000001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504.31234</f>
        <v>504.31234000000001</v>
      </c>
      <c r="H269" s="280"/>
      <c r="I269" s="280">
        <f>900.74358</f>
        <v>900.74357999999995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153.19467</f>
        <v>153.19467</v>
      </c>
      <c r="G270" s="299">
        <f>2071.96817</f>
        <v>2071.9681700000001</v>
      </c>
      <c r="H270" s="299"/>
      <c r="I270" s="299">
        <f>1958.15147</f>
        <v>1958.15147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0.1698</f>
        <v>0.16980000000000001</v>
      </c>
      <c r="G272" s="290">
        <f>159.94861</f>
        <v>159.94861</v>
      </c>
      <c r="H272" s="290">
        <f>E272-G272</f>
        <v>-159.94861</v>
      </c>
      <c r="I272" s="290">
        <f>103.45891</f>
        <v>103.45891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730.20328000000006</v>
      </c>
      <c r="G273" s="308">
        <f t="shared" si="19"/>
        <v>23704.53703</v>
      </c>
      <c r="H273" s="308">
        <f>H262+H267+H268+H271+H272</f>
        <v>17544.46297</v>
      </c>
      <c r="I273" s="308">
        <f t="shared" si="19"/>
        <v>19193.320609999999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38.277500000000003</v>
      </c>
      <c r="F294" s="25">
        <f>SUM(F295:F296)</f>
        <v>664.73535000000004</v>
      </c>
      <c r="G294" s="82">
        <f>D294-F294</f>
        <v>114.26464999999996</v>
      </c>
      <c r="H294" s="25">
        <f>SUM(H295:H296)</f>
        <v>715.02778000000001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30.9185</f>
        <v>30.918500000000002</v>
      </c>
      <c r="F295" s="198">
        <f>504.06015</f>
        <v>504.06015000000002</v>
      </c>
      <c r="G295" s="199"/>
      <c r="H295" s="198">
        <f>550.56308</f>
        <v>550.56308000000001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7.359</f>
        <v>7.359</v>
      </c>
      <c r="F296" s="202">
        <f>160.6752</f>
        <v>160.67519999999999</v>
      </c>
      <c r="G296" s="203"/>
      <c r="H296" s="202">
        <f>164.4647</f>
        <v>164.46469999999999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38.277500000000003</v>
      </c>
      <c r="F304" s="39">
        <f>F294+F297+F300+F303</f>
        <v>664.73535000000004</v>
      </c>
      <c r="G304" s="40">
        <f>D304-F304</f>
        <v>1673.2646500000001</v>
      </c>
      <c r="H304" s="39">
        <f>H294+H297+H300+H303</f>
        <v>715.02778000000001</v>
      </c>
      <c r="I304" s="26"/>
      <c r="J304" s="127"/>
    </row>
    <row r="305" spans="1:10" ht="42" customHeight="1" x14ac:dyDescent="0.2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25">
      <c r="A322" s="223"/>
      <c r="B322" s="69"/>
      <c r="C322" s="236" t="s">
        <v>151</v>
      </c>
      <c r="D322" s="237">
        <v>248</v>
      </c>
      <c r="E322" s="29">
        <f>0.52281</f>
        <v>0.52281</v>
      </c>
      <c r="F322" s="29">
        <f>941.89279</f>
        <v>941.89278999999999</v>
      </c>
      <c r="G322" s="238">
        <f>D322-F322</f>
        <v>-693.89278999999999</v>
      </c>
      <c r="H322" s="29">
        <f>576.45106</f>
        <v>576.45105999999998</v>
      </c>
      <c r="I322" s="242"/>
      <c r="J322" s="127"/>
    </row>
    <row r="323" spans="1:10" ht="17.45" customHeight="1" x14ac:dyDescent="0.25">
      <c r="A323" s="223"/>
      <c r="B323" s="69"/>
      <c r="C323" s="239" t="s">
        <v>152</v>
      </c>
      <c r="D323" s="240">
        <v>22048</v>
      </c>
      <c r="E323" s="29">
        <f>23.27799</f>
        <v>23.277989999999999</v>
      </c>
      <c r="F323" s="29">
        <f>1420.7583</f>
        <v>1420.7583</v>
      </c>
      <c r="G323" s="241">
        <f>D323-F323</f>
        <v>20627.241699999999</v>
      </c>
      <c r="H323" s="29">
        <f>1908.95786</f>
        <v>1908.95786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23.800799999999999</v>
      </c>
      <c r="F324" s="39">
        <f>F323+F322</f>
        <v>2362.6510899999998</v>
      </c>
      <c r="G324" s="39">
        <f>G323+G322</f>
        <v>19933.348909999997</v>
      </c>
      <c r="H324" s="39">
        <f>H323+H322</f>
        <v>2485.4089199999999</v>
      </c>
      <c r="I324" s="26"/>
      <c r="J324" s="127"/>
    </row>
    <row r="325" spans="1:10" ht="22.5" customHeight="1" x14ac:dyDescent="0.2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2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37&amp;R15.09.2025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Olav Lekve</cp:lastModifiedBy>
  <cp:lastPrinted>2022-11-14T12:51:47Z</cp:lastPrinted>
  <dcterms:created xsi:type="dcterms:W3CDTF">2022-08-01T13:23:35Z</dcterms:created>
  <dcterms:modified xsi:type="dcterms:W3CDTF">2025-09-16T07:05:49Z</dcterms:modified>
</cp:coreProperties>
</file>