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\\fiskeridirektoratet.no\Ressurs\Brukere\almal\Downloads\"/>
    </mc:Choice>
  </mc:AlternateContent>
  <xr:revisionPtr revIDLastSave="0" documentId="13_ncr:1_{C563F5EE-2B0F-4F6B-B6A0-706CEC0A80F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1" l="1"/>
  <c r="D423" i="1" l="1"/>
  <c r="H422" i="1"/>
  <c r="F422" i="1"/>
  <c r="G422" i="1" s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F413" i="1" s="1"/>
  <c r="E414" i="1"/>
  <c r="H413" i="1"/>
  <c r="H423" i="1" s="1"/>
  <c r="E413" i="1"/>
  <c r="E423" i="1" s="1"/>
  <c r="G391" i="1"/>
  <c r="I390" i="1"/>
  <c r="G390" i="1"/>
  <c r="H390" i="1" s="1"/>
  <c r="F390" i="1"/>
  <c r="I389" i="1"/>
  <c r="H389" i="1"/>
  <c r="G389" i="1"/>
  <c r="F389" i="1"/>
  <c r="I388" i="1"/>
  <c r="I386" i="1" s="1"/>
  <c r="G388" i="1"/>
  <c r="F388" i="1"/>
  <c r="I387" i="1"/>
  <c r="G387" i="1"/>
  <c r="F387" i="1"/>
  <c r="F386" i="1" s="1"/>
  <c r="G386" i="1"/>
  <c r="H386" i="1" s="1"/>
  <c r="I385" i="1"/>
  <c r="H385" i="1"/>
  <c r="G385" i="1"/>
  <c r="F385" i="1"/>
  <c r="I384" i="1"/>
  <c r="G384" i="1"/>
  <c r="H384" i="1" s="1"/>
  <c r="H380" i="1" s="1"/>
  <c r="H391" i="1" s="1"/>
  <c r="F384" i="1"/>
  <c r="I383" i="1"/>
  <c r="I380" i="1" s="1"/>
  <c r="I391" i="1" s="1"/>
  <c r="H383" i="1"/>
  <c r="G383" i="1"/>
  <c r="F383" i="1"/>
  <c r="F380" i="1" s="1"/>
  <c r="I382" i="1"/>
  <c r="G382" i="1"/>
  <c r="H382" i="1" s="1"/>
  <c r="F382" i="1"/>
  <c r="I381" i="1"/>
  <c r="H381" i="1"/>
  <c r="G381" i="1"/>
  <c r="F381" i="1"/>
  <c r="G380" i="1"/>
  <c r="D380" i="1"/>
  <c r="D391" i="1" s="1"/>
  <c r="H372" i="1"/>
  <c r="F372" i="1"/>
  <c r="H354" i="1"/>
  <c r="D354" i="1"/>
  <c r="H353" i="1"/>
  <c r="G353" i="1"/>
  <c r="F353" i="1"/>
  <c r="E353" i="1"/>
  <c r="H352" i="1"/>
  <c r="F352" i="1"/>
  <c r="G352" i="1" s="1"/>
  <c r="E352" i="1"/>
  <c r="H351" i="1"/>
  <c r="G351" i="1"/>
  <c r="F351" i="1"/>
  <c r="E351" i="1"/>
  <c r="E354" i="1" s="1"/>
  <c r="H350" i="1"/>
  <c r="F350" i="1"/>
  <c r="F354" i="1" s="1"/>
  <c r="E350" i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F251" i="1"/>
  <c r="E251" i="1"/>
  <c r="H250" i="1"/>
  <c r="F250" i="1"/>
  <c r="F249" i="1" s="1"/>
  <c r="E250" i="1"/>
  <c r="H249" i="1"/>
  <c r="H253" i="1" s="1"/>
  <c r="E249" i="1"/>
  <c r="E253" i="1" s="1"/>
  <c r="D207" i="1"/>
  <c r="H206" i="1"/>
  <c r="F206" i="1"/>
  <c r="G206" i="1" s="1"/>
  <c r="E206" i="1"/>
  <c r="H205" i="1"/>
  <c r="G205" i="1"/>
  <c r="F205" i="1"/>
  <c r="E205" i="1"/>
  <c r="H204" i="1"/>
  <c r="H207" i="1" s="1"/>
  <c r="F204" i="1"/>
  <c r="G204" i="1" s="1"/>
  <c r="E204" i="1"/>
  <c r="E207" i="1" s="1"/>
  <c r="E184" i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/>
  <c r="H177" i="1"/>
  <c r="G177" i="1"/>
  <c r="F177" i="1"/>
  <c r="E177" i="1"/>
  <c r="H176" i="1"/>
  <c r="F176" i="1"/>
  <c r="E176" i="1"/>
  <c r="H175" i="1"/>
  <c r="H184" i="1" s="1"/>
  <c r="F175" i="1"/>
  <c r="F184" i="1" s="1"/>
  <c r="E175" i="1"/>
  <c r="D167" i="1"/>
  <c r="D169" i="1" s="1"/>
  <c r="E150" i="1"/>
  <c r="I148" i="1"/>
  <c r="H148" i="1"/>
  <c r="G148" i="1"/>
  <c r="F148" i="1"/>
  <c r="I147" i="1"/>
  <c r="G147" i="1"/>
  <c r="H147" i="1" s="1"/>
  <c r="F147" i="1"/>
  <c r="H146" i="1"/>
  <c r="I145" i="1"/>
  <c r="H145" i="1"/>
  <c r="G145" i="1"/>
  <c r="F145" i="1"/>
  <c r="I144" i="1"/>
  <c r="H144" i="1"/>
  <c r="G144" i="1"/>
  <c r="F144" i="1"/>
  <c r="I143" i="1"/>
  <c r="H143" i="1"/>
  <c r="G143" i="1"/>
  <c r="F143" i="1"/>
  <c r="I142" i="1"/>
  <c r="H142" i="1"/>
  <c r="G142" i="1"/>
  <c r="F142" i="1"/>
  <c r="I141" i="1"/>
  <c r="H141" i="1"/>
  <c r="G141" i="1"/>
  <c r="F141" i="1"/>
  <c r="I140" i="1"/>
  <c r="H140" i="1"/>
  <c r="H139" i="1" s="1"/>
  <c r="G140" i="1"/>
  <c r="G139" i="1" s="1"/>
  <c r="F140" i="1"/>
  <c r="I139" i="1"/>
  <c r="F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G134" i="1"/>
  <c r="E134" i="1"/>
  <c r="D134" i="1"/>
  <c r="D133" i="1" s="1"/>
  <c r="D150" i="1" s="1"/>
  <c r="E133" i="1"/>
  <c r="I132" i="1"/>
  <c r="H132" i="1"/>
  <c r="F132" i="1"/>
  <c r="I131" i="1"/>
  <c r="G131" i="1"/>
  <c r="H131" i="1" s="1"/>
  <c r="F131" i="1"/>
  <c r="I130" i="1"/>
  <c r="H130" i="1"/>
  <c r="G130" i="1"/>
  <c r="F130" i="1"/>
  <c r="I129" i="1"/>
  <c r="I128" i="1" s="1"/>
  <c r="I150" i="1" s="1"/>
  <c r="G129" i="1"/>
  <c r="G128" i="1" s="1"/>
  <c r="F129" i="1"/>
  <c r="F128" i="1"/>
  <c r="F150" i="1" s="1"/>
  <c r="E128" i="1"/>
  <c r="D128" i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I96" i="1" s="1"/>
  <c r="I95" i="1" s="1"/>
  <c r="G97" i="1"/>
  <c r="H97" i="1" s="1"/>
  <c r="F97" i="1"/>
  <c r="F96" i="1" s="1"/>
  <c r="F95" i="1" s="1"/>
  <c r="E96" i="1"/>
  <c r="E95" i="1" s="1"/>
  <c r="E107" i="1" s="1"/>
  <c r="D96" i="1"/>
  <c r="D95" i="1" s="1"/>
  <c r="I94" i="1"/>
  <c r="G94" i="1"/>
  <c r="H94" i="1" s="1"/>
  <c r="H92" i="1" s="1"/>
  <c r="F94" i="1"/>
  <c r="I93" i="1"/>
  <c r="H93" i="1"/>
  <c r="G93" i="1"/>
  <c r="F93" i="1"/>
  <c r="I92" i="1"/>
  <c r="I107" i="1" s="1"/>
  <c r="G92" i="1"/>
  <c r="F92" i="1"/>
  <c r="E92" i="1"/>
  <c r="D92" i="1"/>
  <c r="C89" i="1"/>
  <c r="H85" i="1"/>
  <c r="F85" i="1"/>
  <c r="D85" i="1"/>
  <c r="H61" i="1"/>
  <c r="I35" i="1" s="1"/>
  <c r="H60" i="1"/>
  <c r="I55" i="1"/>
  <c r="I32" i="1" s="1"/>
  <c r="G55" i="1"/>
  <c r="H55" i="1" s="1"/>
  <c r="F55" i="1"/>
  <c r="F32" i="1" s="1"/>
  <c r="F27" i="1" s="1"/>
  <c r="I43" i="1"/>
  <c r="G43" i="1"/>
  <c r="H43" i="1" s="1"/>
  <c r="F43" i="1"/>
  <c r="H42" i="1"/>
  <c r="I41" i="1"/>
  <c r="G41" i="1"/>
  <c r="H41" i="1" s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G35" i="1"/>
  <c r="F35" i="1"/>
  <c r="E35" i="1"/>
  <c r="H35" i="1" s="1"/>
  <c r="G34" i="1"/>
  <c r="H34" i="1" s="1"/>
  <c r="D34" i="1"/>
  <c r="I33" i="1"/>
  <c r="H33" i="1"/>
  <c r="G33" i="1"/>
  <c r="F33" i="1"/>
  <c r="G32" i="1"/>
  <c r="H32" i="1" s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F28" i="1"/>
  <c r="E27" i="1"/>
  <c r="D27" i="1"/>
  <c r="D26" i="1" s="1"/>
  <c r="E26" i="1"/>
  <c r="I25" i="1"/>
  <c r="H25" i="1"/>
  <c r="H23" i="1" s="1"/>
  <c r="G25" i="1"/>
  <c r="F25" i="1"/>
  <c r="I24" i="1"/>
  <c r="I23" i="1" s="1"/>
  <c r="H24" i="1"/>
  <c r="G24" i="1"/>
  <c r="F24" i="1"/>
  <c r="F23" i="1" s="1"/>
  <c r="G23" i="1"/>
  <c r="E23" i="1"/>
  <c r="E44" i="1" s="1"/>
  <c r="D23" i="1"/>
  <c r="H16" i="1"/>
  <c r="F16" i="1"/>
  <c r="D16" i="1"/>
  <c r="I27" i="1" l="1"/>
  <c r="I34" i="1"/>
  <c r="I26" i="1" s="1"/>
  <c r="I44" i="1" s="1"/>
  <c r="H26" i="1"/>
  <c r="H44" i="1" s="1"/>
  <c r="G27" i="1"/>
  <c r="G26" i="1" s="1"/>
  <c r="G44" i="1" s="1"/>
  <c r="H28" i="1"/>
  <c r="H27" i="1" s="1"/>
  <c r="F34" i="1"/>
  <c r="F26" i="1" s="1"/>
  <c r="F44" i="1" s="1"/>
  <c r="G133" i="1"/>
  <c r="H96" i="1"/>
  <c r="H95" i="1" s="1"/>
  <c r="G184" i="1"/>
  <c r="G249" i="1"/>
  <c r="F253" i="1"/>
  <c r="G253" i="1" s="1"/>
  <c r="F391" i="1"/>
  <c r="G150" i="1"/>
  <c r="D107" i="1"/>
  <c r="G107" i="1"/>
  <c r="D44" i="1"/>
  <c r="F107" i="1"/>
  <c r="H107" i="1"/>
  <c r="H134" i="1"/>
  <c r="H133" i="1" s="1"/>
  <c r="G295" i="1"/>
  <c r="F299" i="1"/>
  <c r="G299" i="1"/>
  <c r="G354" i="1"/>
  <c r="F423" i="1"/>
  <c r="G413" i="1"/>
  <c r="G423" i="1"/>
  <c r="F207" i="1"/>
  <c r="G207" i="1" s="1"/>
  <c r="G96" i="1"/>
  <c r="G95" i="1" s="1"/>
  <c r="H129" i="1"/>
  <c r="H128" i="1" s="1"/>
  <c r="G350" i="1"/>
  <c r="G175" i="1"/>
  <c r="H150" i="1" l="1"/>
</calcChain>
</file>

<file path=xl/sharedStrings.xml><?xml version="1.0" encoding="utf-8"?>
<sst xmlns="http://schemas.openxmlformats.org/spreadsheetml/2006/main" count="359" uniqueCount="151">
  <si>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</si>
  <si>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</si>
  <si>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</si>
  <si>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</si>
  <si>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</si>
  <si>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</si>
  <si>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</si>
  <si>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</si>
  <si>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</si>
  <si>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</si>
  <si>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</si>
  <si>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</si>
  <si>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</si>
  <si>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</si>
  <si>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</si>
  <si>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</si>
  <si>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</si>
  <si>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</si>
  <si>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</si>
  <si>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</si>
  <si>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</si>
  <si>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</si>
  <si>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</si>
  <si>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</si>
  <si>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</si>
  <si>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</si>
  <si>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</si>
  <si>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</si>
  <si>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</si>
  <si>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</si>
  <si>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</si>
  <si>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</si>
  <si>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</si>
  <si>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</si>
  <si>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</si>
  <si>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</si>
  <si>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</si>
  <si>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</si>
  <si>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</si>
  <si>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</si>
  <si>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</si>
  <si>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</si>
  <si>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</si>
  <si>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</si>
  <si>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</si>
  <si>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</si>
  <si>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</si>
  <si>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</si>
  <si>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</si>
  <si>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</si>
  <si>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</si>
  <si>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</si>
  <si>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</si>
  <si>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</si>
  <si>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</si>
  <si>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</si>
  <si>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</si>
  <si>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</si>
  <si>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</si>
  <si>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</si>
  <si>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</si>
  <si>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</si>
  <si>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</si>
  <si>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</si>
  <si>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</si>
  <si>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</si>
  <si>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</si>
  <si>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</si>
  <si>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</si>
  <si>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</si>
  <si>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</si>
  <si>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</si>
  <si>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</si>
  <si>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</si>
  <si>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</si>
  <si>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</si>
  <si>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</si>
  <si>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</si>
  <si>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</si>
  <si>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</si>
  <si>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</si>
  <si>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</si>
  <si>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</si>
  <si>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</si>
  <si>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</si>
  <si>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</si>
  <si>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</si>
  <si>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</si>
  <si>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</si>
  <si>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</si>
  <si>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</si>
  <si>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</si>
  <si>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</si>
  <si>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</si>
  <si>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</si>
  <si>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</si>
  <si>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</si>
  <si>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</si>
  <si>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</si>
  <si>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</si>
  <si>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</si>
  <si>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</si>
  <si>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</si>
  <si>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</si>
  <si>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</si>
  <si>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</si>
  <si>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</si>
  <si>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</si>
  <si>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</si>
  <si>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</si>
  <si>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</si>
  <si>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</si>
  <si>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</si>
  <si>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</si>
  <si>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</si>
  <si>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</si>
  <si>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</si>
  <si>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</si>
  <si>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</si>
  <si>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</si>
  <si>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</si>
  <si>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</si>
  <si>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</si>
  <si>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</si>
  <si>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</si>
  <si>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</si>
  <si>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</si>
  <si>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</si>
  <si>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</si>
  <si>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</si>
  <si>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</si>
  <si>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</si>
  <si>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</si>
  <si>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</si>
  <si>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</si>
  <si>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</si>
  <si>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</si>
  <si>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r>
      <t xml:space="preserve">1 </t>
    </r>
    <r>
      <rPr>
        <sz val="9"/>
        <rFont val="Calibri"/>
        <family val="2"/>
      </rPr>
      <t xml:space="preserve">Periodekvote første periode: 3 500 tonn, periodekvote andre periode: 2 300 tonn, bifangstavsetning: 534 tonn </t>
    </r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</si>
  <si>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</si>
  <si>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</si>
  <si>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t>JUSTERTE KVOTER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</si>
  <si>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</si>
  <si>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</si>
  <si>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t>2 Registrert rekreasjonsfiske utgjør 63 tonn, men det legges til grunn at hele avsetningen tas</t>
  </si>
  <si>
    <t>4 Registrert rekreasjonsfiske utgjør 522 tonn, men det legges til grunn at hele avsetningen tas</t>
  </si>
  <si>
    <t>3 Registrert rekreasjonsfiske utgjør 899 tonn, men det legges til grunn at hele avsetningen tas</t>
  </si>
  <si>
    <t>FANGST UKE 49</t>
  </si>
  <si>
    <t>FANGST T.O.M UKE 49</t>
  </si>
  <si>
    <t>RESTKVOTER UKE 49</t>
  </si>
  <si>
    <t>FANGST T.O.M UKE 49 2023</t>
  </si>
  <si>
    <r>
      <t>3</t>
    </r>
    <r>
      <rPr>
        <sz val="9"/>
        <color indexed="8"/>
        <rFont val="Calibri"/>
        <family val="2"/>
      </rPr>
      <t xml:space="preserve"> Det er fisket 7 183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</si>
</sst>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28" fillId="0" borderId="0" xfId="0" applyFont="1"/>
    <xf numFmtId="0" fontId="29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50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left" wrapText="1"/>
    </xf>
    <xf numFmtId="0" fontId="3" fillId="0" borderId="33" xfId="0" applyFont="1" applyBorder="1" applyAlignment="1">
      <alignment horizontal="left" vertical="top" wrapText="1"/>
    </xf>
    <xf numFmtId="0" fontId="27" fillId="0" borderId="47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topLeftCell="A183" zoomScale="78" zoomScaleNormal="85" zoomScaleSheetLayoutView="100" zoomScalePageLayoutView="78" workbookViewId="0">
      <selection activeCell="F170" sqref="F170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03" t="s">
        <v>118</v>
      </c>
      <c r="C2" s="304"/>
      <c r="D2" s="304"/>
      <c r="E2" s="304"/>
      <c r="F2" s="304"/>
      <c r="G2" s="304"/>
      <c r="H2" s="304"/>
      <c r="I2" s="304"/>
      <c r="J2" s="305"/>
    </row>
    <row r="3" spans="1:10" ht="14.9" customHeight="1" x14ac:dyDescent="0.35">
      <c r="A3" s="1"/>
      <c r="B3" s="1"/>
      <c r="C3" s="1" t="s">
        <v>113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113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113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113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113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19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06"/>
      <c r="C9" s="307"/>
      <c r="D9" s="307"/>
      <c r="E9" s="307"/>
      <c r="F9" s="307"/>
      <c r="G9" s="307"/>
      <c r="H9" s="307"/>
      <c r="I9" s="307"/>
      <c r="J9" s="308"/>
    </row>
    <row r="10" spans="1:10" ht="12" customHeight="1" x14ac:dyDescent="0.35">
      <c r="A10" s="1"/>
      <c r="B10" s="254"/>
      <c r="C10" s="1"/>
      <c r="D10" s="1"/>
      <c r="E10" s="1"/>
      <c r="F10" s="1"/>
      <c r="G10" s="1"/>
      <c r="H10" s="1"/>
      <c r="I10" s="1"/>
      <c r="J10" s="120"/>
    </row>
    <row r="11" spans="1:10" ht="14.15" customHeight="1" x14ac:dyDescent="0.3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4"/>
    </row>
    <row r="12" spans="1:10" ht="14.15" customHeight="1" x14ac:dyDescent="0.35">
      <c r="A12" s="1"/>
      <c r="B12" s="254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4"/>
    </row>
    <row r="13" spans="1:10" ht="15.75" customHeight="1" x14ac:dyDescent="0.35">
      <c r="A13" s="1"/>
      <c r="B13" s="254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4"/>
    </row>
    <row r="14" spans="1:10" ht="14.25" customHeight="1" x14ac:dyDescent="0.35">
      <c r="A14" s="1"/>
      <c r="B14" s="254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4"/>
    </row>
    <row r="15" spans="1:10" ht="15.75" customHeight="1" x14ac:dyDescent="0.35">
      <c r="A15" s="1"/>
      <c r="B15" s="254"/>
      <c r="C15" s="115" t="s">
        <v>74</v>
      </c>
      <c r="D15" s="117">
        <v>62179</v>
      </c>
      <c r="E15" s="147"/>
      <c r="F15" s="166"/>
      <c r="G15" s="165" t="s">
        <v>12</v>
      </c>
      <c r="H15" s="291">
        <v>8832</v>
      </c>
      <c r="I15" s="178"/>
      <c r="J15" s="244"/>
    </row>
    <row r="16" spans="1:10" ht="14.15" customHeight="1" x14ac:dyDescent="0.35">
      <c r="A16" s="1"/>
      <c r="B16" s="254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4"/>
    </row>
    <row r="17" spans="1:10" ht="30" customHeight="1" x14ac:dyDescent="0.35">
      <c r="A17" s="101"/>
      <c r="B17" s="24"/>
      <c r="C17" s="302" t="s">
        <v>135</v>
      </c>
      <c r="D17" s="302"/>
      <c r="E17" s="302"/>
      <c r="F17" s="302"/>
      <c r="G17" s="302"/>
      <c r="H17" s="302"/>
      <c r="I17" s="101"/>
      <c r="J17" s="157"/>
    </row>
    <row r="18" spans="1:10" ht="15" customHeight="1" x14ac:dyDescent="0.35">
      <c r="A18" s="1"/>
      <c r="B18" s="241"/>
      <c r="C18" s="272"/>
      <c r="D18" s="272"/>
      <c r="E18" s="109"/>
      <c r="F18" s="272"/>
      <c r="G18" s="272"/>
      <c r="H18" s="272"/>
      <c r="I18" s="272"/>
      <c r="J18" s="184"/>
    </row>
    <row r="19" spans="1:10" ht="15" customHeight="1" x14ac:dyDescent="0.3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35">
      <c r="A20" s="1"/>
      <c r="B20" s="254"/>
      <c r="C20" s="18" t="s">
        <v>15</v>
      </c>
      <c r="D20" s="258"/>
      <c r="E20" s="275"/>
      <c r="F20" s="258"/>
      <c r="G20" s="258"/>
      <c r="H20" s="202"/>
      <c r="I20" s="258"/>
      <c r="J20" s="3"/>
    </row>
    <row r="21" spans="1:10" ht="12" customHeight="1" x14ac:dyDescent="0.35">
      <c r="A21" s="1"/>
      <c r="B21" s="254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3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146</v>
      </c>
      <c r="G22" s="68" t="s">
        <v>147</v>
      </c>
      <c r="H22" s="68" t="s">
        <v>148</v>
      </c>
      <c r="I22" s="68" t="s">
        <v>149</v>
      </c>
      <c r="J22" s="280"/>
    </row>
    <row r="23" spans="1:10" ht="14.15" customHeight="1" x14ac:dyDescent="0.35">
      <c r="A23" s="1"/>
      <c r="B23" s="254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837.95399999999995</v>
      </c>
      <c r="G23" s="28">
        <f t="shared" si="0"/>
        <v>51713.813420000006</v>
      </c>
      <c r="H23" s="11">
        <f t="shared" si="0"/>
        <v>9098.1865799999978</v>
      </c>
      <c r="I23" s="11">
        <f t="shared" si="0"/>
        <v>78598.02741000001</v>
      </c>
      <c r="J23" s="244"/>
    </row>
    <row r="24" spans="1:10" ht="14.15" customHeight="1" x14ac:dyDescent="0.35">
      <c r="A24" s="1"/>
      <c r="B24" s="254"/>
      <c r="C24" s="44" t="s">
        <v>20</v>
      </c>
      <c r="D24" s="45">
        <v>61689</v>
      </c>
      <c r="E24" s="45">
        <v>60042</v>
      </c>
      <c r="F24" s="23">
        <f>837.954</f>
        <v>837.95399999999995</v>
      </c>
      <c r="G24" s="23">
        <f>51152.68349</f>
        <v>51152.683490000003</v>
      </c>
      <c r="H24" s="23">
        <f>E24-G24</f>
        <v>8889.3165099999969</v>
      </c>
      <c r="I24" s="23">
        <f>77900.10206</f>
        <v>77900.102060000005</v>
      </c>
      <c r="J24" s="244"/>
    </row>
    <row r="25" spans="1:10" ht="14.15" customHeight="1" x14ac:dyDescent="0.35">
      <c r="A25" s="1"/>
      <c r="B25" s="254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561.12993</f>
        <v>561.12992999999994</v>
      </c>
      <c r="H25" s="23">
        <f>E25-G25</f>
        <v>208.87007000000006</v>
      </c>
      <c r="I25" s="23">
        <f>697.92535</f>
        <v>697.92534999999998</v>
      </c>
      <c r="J25" s="244"/>
    </row>
    <row r="26" spans="1:10" ht="14.15" customHeight="1" x14ac:dyDescent="0.35">
      <c r="A26" s="1"/>
      <c r="B26" s="254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1546.47577</v>
      </c>
      <c r="G26" s="11">
        <f t="shared" si="1"/>
        <v>133640.67069</v>
      </c>
      <c r="H26" s="11">
        <f t="shared" si="1"/>
        <v>11233.329310000001</v>
      </c>
      <c r="I26" s="11">
        <f t="shared" si="1"/>
        <v>201527.54485000001</v>
      </c>
      <c r="J26" s="244"/>
    </row>
    <row r="27" spans="1:10" ht="15" customHeight="1" x14ac:dyDescent="0.3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1350.5770600000001</v>
      </c>
      <c r="G27" s="132">
        <f t="shared" ref="G27:I27" si="2">G28+G29+G30+G31+G32</f>
        <v>106732.24818</v>
      </c>
      <c r="H27" s="132">
        <f t="shared" si="2"/>
        <v>6245.7518200000013</v>
      </c>
      <c r="I27" s="132">
        <f t="shared" si="2"/>
        <v>154810.96686000002</v>
      </c>
      <c r="J27" s="244"/>
    </row>
    <row r="28" spans="1:10" ht="14.15" customHeight="1" x14ac:dyDescent="0.35">
      <c r="A28" s="197"/>
      <c r="B28" s="182"/>
      <c r="C28" s="62" t="s">
        <v>24</v>
      </c>
      <c r="D28" s="63">
        <v>26791</v>
      </c>
      <c r="E28" s="63">
        <v>28630</v>
      </c>
      <c r="F28" s="203">
        <f>344.67835</f>
        <v>344.67835000000002</v>
      </c>
      <c r="G28" s="127">
        <f>28216.51557 - G56</f>
        <v>26327.51557</v>
      </c>
      <c r="H28" s="127">
        <f t="shared" ref="H28:H40" si="3">E28-G28</f>
        <v>2302.4844300000004</v>
      </c>
      <c r="I28" s="127">
        <f>39238.51243 - H56</f>
        <v>39238.512430000002</v>
      </c>
      <c r="J28" s="65"/>
    </row>
    <row r="29" spans="1:10" ht="14.15" customHeight="1" x14ac:dyDescent="0.35">
      <c r="A29" s="197"/>
      <c r="B29" s="182"/>
      <c r="C29" s="62" t="s">
        <v>25</v>
      </c>
      <c r="D29" s="63">
        <v>28753</v>
      </c>
      <c r="E29" s="63">
        <v>29665</v>
      </c>
      <c r="F29" s="127">
        <f>306.95457</f>
        <v>306.95456999999999</v>
      </c>
      <c r="G29" s="127">
        <f>30731.07644 - G57</f>
        <v>28506.076440000001</v>
      </c>
      <c r="H29" s="127">
        <f t="shared" si="3"/>
        <v>1158.9235599999993</v>
      </c>
      <c r="I29" s="127">
        <f>42466.37046 - H57</f>
        <v>42466.370459999998</v>
      </c>
      <c r="J29" s="65"/>
    </row>
    <row r="30" spans="1:10" ht="14.15" customHeight="1" x14ac:dyDescent="0.35">
      <c r="A30" s="197"/>
      <c r="B30" s="182"/>
      <c r="C30" s="62" t="s">
        <v>26</v>
      </c>
      <c r="D30" s="63">
        <v>25789</v>
      </c>
      <c r="E30" s="63">
        <v>27244</v>
      </c>
      <c r="F30" s="127">
        <f>75.86506</f>
        <v>75.86506</v>
      </c>
      <c r="G30" s="127">
        <f>27431.45598 - G58</f>
        <v>25963.455979999999</v>
      </c>
      <c r="H30" s="127">
        <f t="shared" si="3"/>
        <v>1280.5440200000012</v>
      </c>
      <c r="I30" s="127">
        <f>38345.73693 - H58</f>
        <v>38345.736929999999</v>
      </c>
      <c r="J30" s="65"/>
    </row>
    <row r="31" spans="1:10" ht="14.15" customHeight="1" x14ac:dyDescent="0.35">
      <c r="A31" s="197"/>
      <c r="B31" s="182"/>
      <c r="C31" s="62" t="s">
        <v>27</v>
      </c>
      <c r="D31" s="63">
        <v>18937</v>
      </c>
      <c r="E31" s="63">
        <v>19339</v>
      </c>
      <c r="F31" s="127">
        <f>46.07908</f>
        <v>46.079079999999998</v>
      </c>
      <c r="G31" s="127">
        <f>20353.20019 - G59</f>
        <v>19078.20019</v>
      </c>
      <c r="H31" s="127">
        <f t="shared" si="3"/>
        <v>260.79981000000043</v>
      </c>
      <c r="I31" s="127">
        <f>25742.34704 - H59</f>
        <v>25742.347040000001</v>
      </c>
      <c r="J31" s="65"/>
    </row>
    <row r="32" spans="1:10" ht="14.15" customHeight="1" x14ac:dyDescent="0.35">
      <c r="A32" s="197"/>
      <c r="B32" s="182"/>
      <c r="C32" s="62" t="s">
        <v>28</v>
      </c>
      <c r="D32" s="63">
        <v>7872</v>
      </c>
      <c r="E32" s="63">
        <v>8100</v>
      </c>
      <c r="F32" s="127">
        <f>F55</f>
        <v>577</v>
      </c>
      <c r="G32" s="127">
        <f>G55</f>
        <v>6857</v>
      </c>
      <c r="H32" s="127">
        <f t="shared" si="3"/>
        <v>1243</v>
      </c>
      <c r="I32" s="127">
        <f>I55</f>
        <v>9018</v>
      </c>
      <c r="J32" s="65"/>
    </row>
    <row r="33" spans="1:13" ht="14.15" customHeight="1" x14ac:dyDescent="0.35">
      <c r="A33" s="66"/>
      <c r="B33" s="53"/>
      <c r="C33" s="56" t="s">
        <v>29</v>
      </c>
      <c r="D33" s="58">
        <v>16997</v>
      </c>
      <c r="E33" s="58">
        <v>16859</v>
      </c>
      <c r="F33" s="132">
        <f>0.80976</f>
        <v>0.80976000000000004</v>
      </c>
      <c r="G33" s="132">
        <f>14200.46679</f>
        <v>14200.46679</v>
      </c>
      <c r="H33" s="132">
        <f t="shared" si="3"/>
        <v>2658.5332099999996</v>
      </c>
      <c r="I33" s="132">
        <f>20182.73576</f>
        <v>20182.73576</v>
      </c>
      <c r="J33" s="65"/>
    </row>
    <row r="34" spans="1:13" ht="14.15" customHeight="1" x14ac:dyDescent="0.3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195.08895000000001</v>
      </c>
      <c r="G34" s="132">
        <f>G35+G36</f>
        <v>12707.95572</v>
      </c>
      <c r="H34" s="132">
        <f t="shared" si="3"/>
        <v>2329.0442800000001</v>
      </c>
      <c r="I34" s="132">
        <f>I35+I36</f>
        <v>26533.842229999998</v>
      </c>
      <c r="J34" s="65"/>
    </row>
    <row r="35" spans="1:13" ht="14.15" customHeight="1" x14ac:dyDescent="0.3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112.08895</f>
        <v>112.08895</v>
      </c>
      <c r="G35" s="132">
        <f>15630.95572 - G60 - G61</f>
        <v>11725.95572</v>
      </c>
      <c r="H35" s="127">
        <f t="shared" si="3"/>
        <v>2351.0442800000001</v>
      </c>
      <c r="I35" s="127">
        <f>25545.84223 - H60 - H61</f>
        <v>25490.842229999998</v>
      </c>
      <c r="J35" s="65"/>
    </row>
    <row r="36" spans="1:13" ht="14.15" customHeight="1" x14ac:dyDescent="0.35">
      <c r="A36" s="197"/>
      <c r="B36" s="182"/>
      <c r="C36" s="69" t="s">
        <v>32</v>
      </c>
      <c r="D36" s="70">
        <v>960</v>
      </c>
      <c r="E36" s="70">
        <v>960</v>
      </c>
      <c r="F36" s="71">
        <f>F60</f>
        <v>83</v>
      </c>
      <c r="G36" s="71">
        <f>G60</f>
        <v>982</v>
      </c>
      <c r="H36" s="71">
        <f t="shared" si="3"/>
        <v>-22</v>
      </c>
      <c r="I36" s="71">
        <f>I60</f>
        <v>1043</v>
      </c>
      <c r="J36" s="65"/>
    </row>
    <row r="37" spans="1:13" ht="15.75" customHeight="1" x14ac:dyDescent="0.35">
      <c r="A37" s="1"/>
      <c r="B37" s="254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348.3612</f>
        <v>348.3612</v>
      </c>
      <c r="H37" s="139">
        <f t="shared" si="3"/>
        <v>1651.6387999999999</v>
      </c>
      <c r="I37" s="139">
        <f>746.7916</f>
        <v>746.79160000000002</v>
      </c>
      <c r="J37" s="244"/>
    </row>
    <row r="38" spans="1:13" ht="14.15" customHeight="1" x14ac:dyDescent="0.35">
      <c r="A38" s="1"/>
      <c r="B38" s="254"/>
      <c r="C38" s="73" t="s">
        <v>34</v>
      </c>
      <c r="D38" s="143">
        <v>855</v>
      </c>
      <c r="E38" s="143">
        <v>855</v>
      </c>
      <c r="F38" s="98">
        <f>4.5919</f>
        <v>4.5918999999999999</v>
      </c>
      <c r="G38" s="98">
        <f>526.30886</f>
        <v>526.30885999999998</v>
      </c>
      <c r="H38" s="98">
        <f t="shared" si="3"/>
        <v>328.69114000000002</v>
      </c>
      <c r="I38" s="98">
        <f>614.2082</f>
        <v>614.20820000000003</v>
      </c>
      <c r="J38" s="244"/>
    </row>
    <row r="39" spans="1:13" ht="17.25" customHeight="1" x14ac:dyDescent="0.35">
      <c r="A39" s="1"/>
      <c r="B39" s="254"/>
      <c r="C39" s="73" t="s">
        <v>35</v>
      </c>
      <c r="D39" s="143">
        <v>3000</v>
      </c>
      <c r="E39" s="143">
        <v>3000</v>
      </c>
      <c r="F39" s="98">
        <f>F61</f>
        <v>9</v>
      </c>
      <c r="G39" s="98">
        <f>G61</f>
        <v>2923</v>
      </c>
      <c r="H39" s="98">
        <f t="shared" si="3"/>
        <v>77</v>
      </c>
      <c r="I39" s="98">
        <f>I61</f>
        <v>4510</v>
      </c>
      <c r="J39" s="244"/>
    </row>
    <row r="40" spans="1:13" ht="17.25" customHeight="1" x14ac:dyDescent="0.35">
      <c r="A40" s="1"/>
      <c r="B40" s="254"/>
      <c r="C40" s="73" t="s">
        <v>36</v>
      </c>
      <c r="D40" s="143">
        <v>7000</v>
      </c>
      <c r="E40" s="143">
        <v>7000</v>
      </c>
      <c r="F40" s="98">
        <f>1.43922</f>
        <v>1.4392199999999999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4"/>
    </row>
    <row r="41" spans="1:13" ht="17.25" customHeight="1" x14ac:dyDescent="0.35">
      <c r="A41" s="1"/>
      <c r="B41" s="254"/>
      <c r="C41" s="73" t="s">
        <v>38</v>
      </c>
      <c r="D41" s="143">
        <v>400</v>
      </c>
      <c r="E41" s="143">
        <v>400</v>
      </c>
      <c r="F41" s="98">
        <f>11.469</f>
        <v>11.468999999999999</v>
      </c>
      <c r="G41" s="98">
        <f>369.85645</f>
        <v>369.85645</v>
      </c>
      <c r="H41" s="98">
        <f>E41-G41</f>
        <v>30.143550000000005</v>
      </c>
      <c r="I41" s="98">
        <f>366.5118</f>
        <v>366.51179999999999</v>
      </c>
      <c r="J41" s="244"/>
    </row>
    <row r="42" spans="1:13" ht="17.25" customHeight="1" x14ac:dyDescent="0.35">
      <c r="A42" s="1"/>
      <c r="B42" s="254"/>
      <c r="C42" s="73" t="s">
        <v>125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4"/>
      <c r="M42" s="225"/>
    </row>
    <row r="43" spans="1:13" ht="14.15" customHeight="1" x14ac:dyDescent="0.35">
      <c r="A43" s="1"/>
      <c r="B43" s="254"/>
      <c r="C43" s="73" t="s">
        <v>39</v>
      </c>
      <c r="D43" s="143"/>
      <c r="E43" s="139"/>
      <c r="F43" s="139">
        <f>1.885</f>
        <v>1.885</v>
      </c>
      <c r="G43" s="139">
        <f>158.07126</f>
        <v>158.07126</v>
      </c>
      <c r="H43" s="139">
        <f t="shared" ref="H43" si="4">E43-G43</f>
        <v>-158.07126</v>
      </c>
      <c r="I43" s="139">
        <f>206.77877</f>
        <v>206.77877000000001</v>
      </c>
      <c r="J43" s="244"/>
    </row>
    <row r="44" spans="1:13" ht="16.5" customHeight="1" x14ac:dyDescent="0.35">
      <c r="A44" s="1"/>
      <c r="B44" s="254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2412.8148900000001</v>
      </c>
      <c r="G44" s="76">
        <f t="shared" si="5"/>
        <v>196680.08588</v>
      </c>
      <c r="H44" s="76">
        <f t="shared" si="5"/>
        <v>22360.914119999998</v>
      </c>
      <c r="I44" s="76">
        <f t="shared" si="5"/>
        <v>293569.86262999999</v>
      </c>
      <c r="J44" s="244"/>
    </row>
    <row r="45" spans="1:13" ht="14.15" customHeight="1" x14ac:dyDescent="0.35">
      <c r="A45" s="101"/>
      <c r="B45" s="24"/>
      <c r="C45" s="77" t="s">
        <v>126</v>
      </c>
      <c r="D45" s="258"/>
      <c r="E45" s="258"/>
      <c r="F45" s="80"/>
      <c r="G45" s="80"/>
      <c r="H45" s="228"/>
      <c r="I45" s="228"/>
      <c r="J45" s="81"/>
    </row>
    <row r="46" spans="1:13" ht="14.15" customHeight="1" x14ac:dyDescent="0.35">
      <c r="A46" s="101"/>
      <c r="B46" s="24"/>
      <c r="C46" s="82" t="s">
        <v>41</v>
      </c>
      <c r="D46" s="258"/>
      <c r="E46" s="258"/>
      <c r="F46" s="258"/>
      <c r="G46" s="80"/>
      <c r="H46" s="178"/>
      <c r="I46" s="178"/>
      <c r="J46" s="244"/>
    </row>
    <row r="47" spans="1:13" ht="14.15" customHeight="1" x14ac:dyDescent="0.35">
      <c r="A47" s="101"/>
      <c r="B47" s="24"/>
      <c r="C47" s="161" t="s">
        <v>145</v>
      </c>
      <c r="D47" s="258"/>
      <c r="E47" s="258"/>
      <c r="F47" s="258"/>
      <c r="G47" s="80"/>
      <c r="H47" s="178"/>
      <c r="I47" s="178"/>
      <c r="J47" s="120"/>
    </row>
    <row r="48" spans="1:13" ht="14.15" customHeight="1" x14ac:dyDescent="0.35">
      <c r="A48" s="101"/>
      <c r="B48" s="24"/>
      <c r="C48" s="161" t="s">
        <v>127</v>
      </c>
      <c r="D48" s="258"/>
      <c r="E48" s="258"/>
      <c r="F48" s="258"/>
      <c r="G48" s="258"/>
      <c r="H48" s="178"/>
      <c r="I48" s="178"/>
      <c r="J48" s="120"/>
    </row>
    <row r="49" spans="1:10" ht="14.15" customHeight="1" x14ac:dyDescent="0.35">
      <c r="A49" s="101"/>
      <c r="B49" s="24"/>
      <c r="C49" s="101" t="s">
        <v>42</v>
      </c>
      <c r="D49" s="258"/>
      <c r="E49" s="258"/>
      <c r="F49" s="258"/>
      <c r="G49" s="258"/>
      <c r="H49" s="178"/>
      <c r="I49" s="178"/>
      <c r="J49" s="120"/>
    </row>
    <row r="50" spans="1:10" ht="14.15" customHeight="1" x14ac:dyDescent="0.35">
      <c r="A50" s="101"/>
      <c r="B50" s="24"/>
      <c r="C50" s="101"/>
      <c r="D50" s="258"/>
      <c r="E50" s="258"/>
      <c r="F50" s="258"/>
      <c r="G50" s="258"/>
      <c r="H50" s="178"/>
      <c r="I50" s="178"/>
      <c r="J50" s="120"/>
    </row>
    <row r="51" spans="1:10" ht="20.25" customHeight="1" x14ac:dyDescent="0.35">
      <c r="A51" s="101"/>
      <c r="B51" s="241"/>
      <c r="C51" s="272"/>
      <c r="D51" s="272"/>
      <c r="E51" s="109"/>
      <c r="F51" s="272"/>
      <c r="G51" s="272"/>
      <c r="H51" s="272"/>
      <c r="I51" s="272"/>
      <c r="J51" s="184"/>
    </row>
    <row r="52" spans="1:10" ht="33" customHeight="1" x14ac:dyDescent="0.3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35">
      <c r="A53" s="101"/>
      <c r="B53" s="24"/>
      <c r="C53" s="161"/>
      <c r="D53" s="258"/>
      <c r="E53" s="258"/>
      <c r="F53" s="258"/>
      <c r="G53" s="258"/>
      <c r="H53" s="178"/>
      <c r="I53" s="178"/>
      <c r="J53" s="120"/>
    </row>
    <row r="54" spans="1:10" ht="61.5" customHeight="1" x14ac:dyDescent="0.35">
      <c r="A54" s="101"/>
      <c r="B54" s="24"/>
      <c r="C54" s="86" t="s">
        <v>16</v>
      </c>
      <c r="D54" s="68" t="s">
        <v>44</v>
      </c>
      <c r="E54" s="68" t="s">
        <v>139</v>
      </c>
      <c r="F54" s="68" t="s">
        <v>146</v>
      </c>
      <c r="G54" s="68" t="s">
        <v>147</v>
      </c>
      <c r="H54" s="68" t="s">
        <v>148</v>
      </c>
      <c r="I54" s="68" t="s">
        <v>149</v>
      </c>
      <c r="J54" s="244"/>
    </row>
    <row r="55" spans="1:10" ht="14.15" customHeight="1" x14ac:dyDescent="0.35">
      <c r="A55" s="101"/>
      <c r="B55" s="24"/>
      <c r="C55" s="16" t="s">
        <v>45</v>
      </c>
      <c r="D55" s="295">
        <v>7872</v>
      </c>
      <c r="E55" s="295">
        <v>8100</v>
      </c>
      <c r="F55" s="11">
        <f>F59+F58+F57+F56</f>
        <v>577</v>
      </c>
      <c r="G55" s="11">
        <f>G59+G58+G57+G56</f>
        <v>6857</v>
      </c>
      <c r="H55" s="295">
        <f>E55-G55</f>
        <v>1243</v>
      </c>
      <c r="I55" s="11">
        <f>I59+I58+I57+I56</f>
        <v>9018</v>
      </c>
      <c r="J55" s="120"/>
    </row>
    <row r="56" spans="1:10" ht="14.15" customHeight="1" x14ac:dyDescent="0.35">
      <c r="A56" s="101"/>
      <c r="B56" s="24"/>
      <c r="C56" s="62" t="s">
        <v>24</v>
      </c>
      <c r="D56" s="296"/>
      <c r="E56" s="296"/>
      <c r="F56" s="127">
        <v>248</v>
      </c>
      <c r="G56" s="127">
        <v>1889</v>
      </c>
      <c r="H56" s="296"/>
      <c r="I56" s="127">
        <v>1793</v>
      </c>
      <c r="J56" s="120"/>
    </row>
    <row r="57" spans="1:10" ht="14.15" customHeight="1" x14ac:dyDescent="0.35">
      <c r="A57" s="101"/>
      <c r="B57" s="24"/>
      <c r="C57" s="62" t="s">
        <v>25</v>
      </c>
      <c r="D57" s="296"/>
      <c r="E57" s="296"/>
      <c r="F57" s="127">
        <v>222</v>
      </c>
      <c r="G57" s="127">
        <v>2225</v>
      </c>
      <c r="H57" s="296"/>
      <c r="I57" s="127">
        <v>3095</v>
      </c>
      <c r="J57" s="244"/>
    </row>
    <row r="58" spans="1:10" ht="14.15" customHeight="1" x14ac:dyDescent="0.35">
      <c r="A58" s="101"/>
      <c r="B58" s="24"/>
      <c r="C58" s="62" t="s">
        <v>26</v>
      </c>
      <c r="D58" s="296"/>
      <c r="E58" s="296"/>
      <c r="F58" s="127">
        <v>60</v>
      </c>
      <c r="G58" s="127">
        <v>1468</v>
      </c>
      <c r="H58" s="296"/>
      <c r="I58" s="127">
        <v>2748</v>
      </c>
      <c r="J58" s="120"/>
    </row>
    <row r="59" spans="1:10" ht="14.15" customHeight="1" x14ac:dyDescent="0.35">
      <c r="A59" s="101"/>
      <c r="B59" s="24"/>
      <c r="C59" s="87" t="s">
        <v>27</v>
      </c>
      <c r="D59" s="297"/>
      <c r="E59" s="297"/>
      <c r="F59" s="192">
        <v>47</v>
      </c>
      <c r="G59" s="192">
        <v>1275</v>
      </c>
      <c r="H59" s="297"/>
      <c r="I59" s="192">
        <v>1382</v>
      </c>
      <c r="J59" s="120"/>
    </row>
    <row r="60" spans="1:10" ht="14.15" customHeight="1" x14ac:dyDescent="0.35">
      <c r="A60" s="101"/>
      <c r="B60" s="24"/>
      <c r="C60" s="88" t="s">
        <v>46</v>
      </c>
      <c r="D60" s="95">
        <v>960</v>
      </c>
      <c r="E60" s="95">
        <v>960</v>
      </c>
      <c r="F60" s="95">
        <v>83</v>
      </c>
      <c r="G60" s="95">
        <v>982</v>
      </c>
      <c r="H60" s="95">
        <f>E60-G60</f>
        <v>-22</v>
      </c>
      <c r="I60" s="95">
        <v>1043</v>
      </c>
      <c r="J60" s="244"/>
    </row>
    <row r="61" spans="1:10" ht="14.15" customHeight="1" x14ac:dyDescent="0.35">
      <c r="A61" s="101"/>
      <c r="B61" s="24"/>
      <c r="C61" s="142" t="s">
        <v>47</v>
      </c>
      <c r="D61" s="139">
        <v>3000</v>
      </c>
      <c r="E61" s="139">
        <v>3000</v>
      </c>
      <c r="F61" s="139">
        <v>9</v>
      </c>
      <c r="G61" s="139">
        <v>2923</v>
      </c>
      <c r="H61" s="139">
        <f>E61-G61</f>
        <v>77</v>
      </c>
      <c r="I61" s="139">
        <v>4510</v>
      </c>
      <c r="J61" s="120"/>
    </row>
    <row r="62" spans="1:10" ht="14.15" customHeight="1" x14ac:dyDescent="0.35">
      <c r="A62" s="101"/>
      <c r="B62" s="24"/>
      <c r="C62" s="77" t="s">
        <v>128</v>
      </c>
      <c r="D62" s="258"/>
      <c r="E62" s="258"/>
      <c r="F62" s="258"/>
      <c r="G62" s="258"/>
      <c r="H62" s="178"/>
      <c r="I62" s="178"/>
      <c r="J62" s="120"/>
    </row>
    <row r="63" spans="1:10" ht="14.15" customHeight="1" x14ac:dyDescent="0.35">
      <c r="A63" s="101"/>
      <c r="B63" s="24"/>
      <c r="C63" s="161"/>
      <c r="D63" s="258"/>
      <c r="E63" s="258"/>
      <c r="F63" s="258"/>
      <c r="G63" s="258"/>
      <c r="H63" s="178"/>
      <c r="I63" s="178"/>
      <c r="J63" s="120"/>
    </row>
    <row r="64" spans="1:10" ht="15" customHeight="1" x14ac:dyDescent="0.35">
      <c r="A64" s="101"/>
      <c r="B64" s="24"/>
      <c r="C64" s="161"/>
      <c r="D64" s="258"/>
      <c r="E64" s="258"/>
      <c r="F64" s="258"/>
      <c r="G64" s="258"/>
      <c r="H64" s="178"/>
      <c r="I64" s="178"/>
      <c r="J64" s="120"/>
    </row>
    <row r="65" spans="1:10" ht="12" customHeight="1" x14ac:dyDescent="0.3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35">
      <c r="B67" s="1"/>
      <c r="C67" s="288"/>
      <c r="D67" s="119"/>
      <c r="E67" s="119"/>
      <c r="F67" s="119"/>
      <c r="G67" s="119"/>
      <c r="H67" s="1"/>
      <c r="I67" s="1"/>
      <c r="J67" s="1"/>
    </row>
    <row r="68" spans="1:10" x14ac:dyDescent="0.35">
      <c r="B68" s="1" t="s">
        <v>113</v>
      </c>
      <c r="C68" s="288"/>
      <c r="D68" s="119"/>
      <c r="E68" s="119"/>
      <c r="F68" s="119"/>
      <c r="G68" s="119"/>
      <c r="H68" s="1"/>
      <c r="I68" s="1"/>
      <c r="J68" s="1"/>
    </row>
    <row r="71" spans="1:10" ht="0.75" customHeight="1" x14ac:dyDescent="0.35"/>
    <row r="77" spans="1:10" ht="204" customHeight="1" x14ac:dyDescent="0.35"/>
    <row r="78" spans="1:10" ht="17.149999999999999" customHeight="1" x14ac:dyDescent="0.35">
      <c r="B78" s="2"/>
      <c r="C78" s="219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35">
      <c r="B79" s="2"/>
      <c r="C79" s="219"/>
      <c r="D79" s="2"/>
      <c r="E79" s="2"/>
      <c r="F79" s="2"/>
      <c r="G79" s="2"/>
      <c r="H79" s="2"/>
      <c r="I79" s="2"/>
      <c r="J79" s="2"/>
    </row>
    <row r="80" spans="1:10" ht="14.15" customHeight="1" x14ac:dyDescent="0.3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3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4"/>
    </row>
    <row r="82" spans="1:10" ht="15" customHeight="1" x14ac:dyDescent="0.35">
      <c r="B82" s="254"/>
      <c r="C82" s="115" t="s">
        <v>6</v>
      </c>
      <c r="D82" s="117">
        <v>70605</v>
      </c>
      <c r="E82" s="259" t="s">
        <v>4</v>
      </c>
      <c r="F82" s="114">
        <v>26707</v>
      </c>
      <c r="G82" s="191" t="s">
        <v>5</v>
      </c>
      <c r="H82" s="114">
        <v>7843</v>
      </c>
      <c r="I82" s="178"/>
      <c r="J82" s="244"/>
    </row>
    <row r="83" spans="1:10" ht="15" customHeight="1" x14ac:dyDescent="0.35">
      <c r="B83" s="254"/>
      <c r="C83" s="115" t="s">
        <v>9</v>
      </c>
      <c r="D83" s="117">
        <v>61605</v>
      </c>
      <c r="E83" s="248" t="s">
        <v>7</v>
      </c>
      <c r="F83" s="117">
        <v>43575</v>
      </c>
      <c r="G83" s="191" t="s">
        <v>8</v>
      </c>
      <c r="H83" s="117">
        <v>32246</v>
      </c>
      <c r="I83" s="178"/>
      <c r="J83" s="244"/>
    </row>
    <row r="84" spans="1:10" ht="14.15" customHeight="1" x14ac:dyDescent="0.35">
      <c r="B84" s="254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4"/>
    </row>
    <row r="85" spans="1:10" ht="12" customHeight="1" x14ac:dyDescent="0.35">
      <c r="B85" s="254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4"/>
    </row>
    <row r="86" spans="1:10" ht="14.25" customHeight="1" x14ac:dyDescent="0.35">
      <c r="A86" s="1"/>
      <c r="B86" s="254"/>
      <c r="C86" s="101" t="s">
        <v>136</v>
      </c>
      <c r="D86" s="220"/>
      <c r="E86" s="220"/>
      <c r="F86" s="220"/>
      <c r="G86" s="220"/>
      <c r="H86" s="220"/>
      <c r="I86" s="236"/>
      <c r="J86" s="120"/>
    </row>
    <row r="87" spans="1:10" ht="6" customHeight="1" x14ac:dyDescent="0.35">
      <c r="A87" s="1"/>
      <c r="B87" s="254"/>
      <c r="C87" s="96"/>
      <c r="D87" s="96"/>
      <c r="E87" s="96"/>
      <c r="F87" s="96"/>
      <c r="G87" s="96"/>
      <c r="H87" s="96"/>
      <c r="I87" s="236"/>
      <c r="J87" s="120"/>
    </row>
    <row r="88" spans="1:10" ht="14.15" customHeight="1" x14ac:dyDescent="0.35">
      <c r="A88" s="1"/>
      <c r="B88" s="135"/>
      <c r="C88" s="272"/>
      <c r="D88" s="109"/>
      <c r="E88" s="272"/>
      <c r="F88" s="272"/>
      <c r="G88" s="272"/>
      <c r="H88" s="272"/>
      <c r="I88" s="261"/>
      <c r="J88" s="184"/>
    </row>
    <row r="89" spans="1:10" ht="20.25" customHeight="1" x14ac:dyDescent="0.35">
      <c r="A89" s="1"/>
      <c r="B89" s="254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4">
      <c r="A90" s="1"/>
      <c r="B90" s="254"/>
      <c r="C90" s="290"/>
      <c r="D90" s="290"/>
      <c r="E90" s="290"/>
      <c r="F90" s="290"/>
      <c r="G90" s="290"/>
      <c r="H90" s="290"/>
      <c r="I90" s="290"/>
      <c r="J90" s="19"/>
    </row>
    <row r="91" spans="1:10" ht="54" customHeight="1" x14ac:dyDescent="0.35">
      <c r="A91" s="1"/>
      <c r="B91" s="254"/>
      <c r="C91" s="15" t="s">
        <v>16</v>
      </c>
      <c r="D91" s="113" t="s">
        <v>17</v>
      </c>
      <c r="E91" s="15" t="s">
        <v>50</v>
      </c>
      <c r="F91" s="15" t="s">
        <v>146</v>
      </c>
      <c r="G91" s="15" t="s">
        <v>147</v>
      </c>
      <c r="H91" s="15" t="s">
        <v>148</v>
      </c>
      <c r="I91" s="15" t="s">
        <v>149</v>
      </c>
      <c r="J91" s="120"/>
    </row>
    <row r="92" spans="1:10" ht="14.15" customHeight="1" x14ac:dyDescent="0.35">
      <c r="A92" s="1"/>
      <c r="B92" s="254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69.069000000000003</v>
      </c>
      <c r="G92" s="11">
        <f t="shared" si="6"/>
        <v>24955.864289999998</v>
      </c>
      <c r="H92" s="11">
        <f t="shared" si="6"/>
        <v>1005.1357100000016</v>
      </c>
      <c r="I92" s="11">
        <f t="shared" si="6"/>
        <v>44854.13293</v>
      </c>
      <c r="J92" s="244"/>
    </row>
    <row r="93" spans="1:10" ht="15" customHeight="1" x14ac:dyDescent="0.35">
      <c r="A93" s="1"/>
      <c r="B93" s="254"/>
      <c r="C93" s="44" t="s">
        <v>20</v>
      </c>
      <c r="D93" s="45">
        <v>25957</v>
      </c>
      <c r="E93" s="45">
        <v>25136</v>
      </c>
      <c r="F93" s="23">
        <f>69.069</f>
        <v>69.069000000000003</v>
      </c>
      <c r="G93" s="23">
        <f>24152.46694</f>
        <v>24152.466939999998</v>
      </c>
      <c r="H93" s="23">
        <f>E93-G93</f>
        <v>983.53306000000157</v>
      </c>
      <c r="I93" s="23">
        <f>44176.93634</f>
        <v>44176.93634</v>
      </c>
      <c r="J93" s="244"/>
    </row>
    <row r="94" spans="1:10" ht="14.15" customHeight="1" x14ac:dyDescent="0.35">
      <c r="A94" s="1"/>
      <c r="B94" s="254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803.39735</f>
        <v>803.39734999999996</v>
      </c>
      <c r="H94" s="50">
        <f>E94-G94</f>
        <v>21.60265000000004</v>
      </c>
      <c r="I94" s="50">
        <f>677.19659</f>
        <v>677.19659000000001</v>
      </c>
      <c r="J94" s="244"/>
    </row>
    <row r="95" spans="1:10" ht="15.75" customHeight="1" x14ac:dyDescent="0.3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287.57705000000004</v>
      </c>
      <c r="G95" s="11">
        <f t="shared" si="7"/>
        <v>43720.773970000009</v>
      </c>
      <c r="H95" s="11">
        <f t="shared" si="7"/>
        <v>5273.2260299999989</v>
      </c>
      <c r="I95" s="11">
        <f t="shared" si="7"/>
        <v>41313.641960000001</v>
      </c>
      <c r="J95" s="244"/>
    </row>
    <row r="96" spans="1:10" ht="14.15" customHeight="1" x14ac:dyDescent="0.3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233.38213000000002</v>
      </c>
      <c r="G96" s="132">
        <f t="shared" si="8"/>
        <v>34291.829480000008</v>
      </c>
      <c r="H96" s="132">
        <f t="shared" si="8"/>
        <v>3202.1705199999988</v>
      </c>
      <c r="I96" s="132">
        <f t="shared" si="8"/>
        <v>26578.834280000003</v>
      </c>
      <c r="J96" s="244"/>
    </row>
    <row r="97" spans="1:10" ht="14.15" customHeight="1" x14ac:dyDescent="0.35">
      <c r="A97" s="197"/>
      <c r="B97" s="182"/>
      <c r="C97" s="62" t="s">
        <v>24</v>
      </c>
      <c r="D97" s="63">
        <v>8940</v>
      </c>
      <c r="E97" s="63">
        <v>10015</v>
      </c>
      <c r="F97" s="127">
        <f>94.70257</f>
        <v>94.702569999999994</v>
      </c>
      <c r="G97" s="127">
        <f>6162.26433</f>
        <v>6162.26433</v>
      </c>
      <c r="H97" s="127">
        <f t="shared" ref="H97:H104" si="9">E97-G97</f>
        <v>3852.73567</v>
      </c>
      <c r="I97" s="127">
        <f>5245.67924</f>
        <v>5245.6792400000004</v>
      </c>
      <c r="J97" s="244"/>
    </row>
    <row r="98" spans="1:10" ht="14.15" customHeight="1" x14ac:dyDescent="0.35">
      <c r="A98" s="197"/>
      <c r="B98" s="182"/>
      <c r="C98" s="62" t="s">
        <v>51</v>
      </c>
      <c r="D98" s="63">
        <v>9469</v>
      </c>
      <c r="E98" s="63">
        <v>10614</v>
      </c>
      <c r="F98" s="127">
        <f>85.09493</f>
        <v>85.094930000000005</v>
      </c>
      <c r="G98" s="127">
        <f>10853.91112</f>
        <v>10853.911120000001</v>
      </c>
      <c r="H98" s="127">
        <f t="shared" si="9"/>
        <v>-239.91112000000066</v>
      </c>
      <c r="I98" s="127">
        <f>8729.54432</f>
        <v>8729.5443200000009</v>
      </c>
      <c r="J98" s="244"/>
    </row>
    <row r="99" spans="1:10" ht="14.15" customHeight="1" x14ac:dyDescent="0.35">
      <c r="A99" s="197"/>
      <c r="B99" s="182"/>
      <c r="C99" s="62" t="s">
        <v>52</v>
      </c>
      <c r="D99" s="63">
        <v>9029</v>
      </c>
      <c r="E99" s="63">
        <v>10112</v>
      </c>
      <c r="F99" s="127">
        <f>37.87181</f>
        <v>37.871810000000004</v>
      </c>
      <c r="G99" s="127">
        <f>10179.79944</f>
        <v>10179.799440000001</v>
      </c>
      <c r="H99" s="127">
        <f t="shared" si="9"/>
        <v>-67.799440000000686</v>
      </c>
      <c r="I99" s="127">
        <f>7213.96183</f>
        <v>7213.9618300000002</v>
      </c>
      <c r="J99" s="244"/>
    </row>
    <row r="100" spans="1:10" ht="14.15" customHeight="1" x14ac:dyDescent="0.35">
      <c r="A100" s="197"/>
      <c r="B100" s="182"/>
      <c r="C100" s="62" t="s">
        <v>27</v>
      </c>
      <c r="D100" s="63">
        <v>6030</v>
      </c>
      <c r="E100" s="63">
        <v>6753</v>
      </c>
      <c r="F100" s="127">
        <f>15.71282</f>
        <v>15.712820000000001</v>
      </c>
      <c r="G100" s="127">
        <f>7095.85459</f>
        <v>7095.8545899999999</v>
      </c>
      <c r="H100" s="127">
        <f t="shared" si="9"/>
        <v>-342.85458999999992</v>
      </c>
      <c r="I100" s="127">
        <f>5389.64889</f>
        <v>5389.6488900000004</v>
      </c>
      <c r="J100" s="244"/>
    </row>
    <row r="101" spans="1:10" ht="14.15" customHeight="1" x14ac:dyDescent="0.35">
      <c r="A101" s="197"/>
      <c r="B101" s="182"/>
      <c r="C101" s="56" t="s">
        <v>53</v>
      </c>
      <c r="D101" s="58">
        <v>7843</v>
      </c>
      <c r="E101" s="58">
        <v>7596</v>
      </c>
      <c r="F101" s="132">
        <f>1.22468</f>
        <v>1.22468</v>
      </c>
      <c r="G101" s="132">
        <f>6541.27964</f>
        <v>6541.2796399999997</v>
      </c>
      <c r="H101" s="132">
        <f t="shared" si="9"/>
        <v>1054.7203600000003</v>
      </c>
      <c r="I101" s="132">
        <f>12115.47061</f>
        <v>12115.47061</v>
      </c>
      <c r="J101" s="244"/>
    </row>
    <row r="102" spans="1:10" ht="15.75" customHeight="1" x14ac:dyDescent="0.35">
      <c r="A102" s="1"/>
      <c r="B102" s="53"/>
      <c r="C102" s="38" t="s">
        <v>11</v>
      </c>
      <c r="D102" s="61">
        <v>3486</v>
      </c>
      <c r="E102" s="61">
        <v>3904</v>
      </c>
      <c r="F102" s="75">
        <f>52.97024</f>
        <v>52.970239999999997</v>
      </c>
      <c r="G102" s="75">
        <f>2887.66485</f>
        <v>2887.6648500000001</v>
      </c>
      <c r="H102" s="75">
        <f t="shared" si="9"/>
        <v>1016.3351499999999</v>
      </c>
      <c r="I102" s="75">
        <f>2619.33707</f>
        <v>2619.33707</v>
      </c>
      <c r="J102" s="244"/>
    </row>
    <row r="103" spans="1:10" ht="15.75" customHeight="1" x14ac:dyDescent="0.35">
      <c r="A103" s="1"/>
      <c r="B103" s="53"/>
      <c r="C103" s="73" t="s">
        <v>34</v>
      </c>
      <c r="D103" s="89">
        <v>319</v>
      </c>
      <c r="E103" s="89">
        <v>319</v>
      </c>
      <c r="F103" s="98">
        <f>0.1866</f>
        <v>0.18659999999999999</v>
      </c>
      <c r="G103" s="98">
        <f>36.82104</f>
        <v>36.821040000000004</v>
      </c>
      <c r="H103" s="98">
        <f t="shared" si="9"/>
        <v>282.17896000000002</v>
      </c>
      <c r="I103" s="98">
        <f>17.52586</f>
        <v>17.525860000000002</v>
      </c>
      <c r="J103" s="244"/>
    </row>
    <row r="104" spans="1:10" ht="18" customHeight="1" x14ac:dyDescent="0.35">
      <c r="A104" s="1"/>
      <c r="B104" s="254"/>
      <c r="C104" s="73" t="s">
        <v>54</v>
      </c>
      <c r="D104" s="143">
        <v>300</v>
      </c>
      <c r="E104" s="143">
        <v>300</v>
      </c>
      <c r="F104" s="139">
        <f>0.07185</f>
        <v>7.1849999999999997E-2</v>
      </c>
      <c r="G104" s="139">
        <f>E104</f>
        <v>300</v>
      </c>
      <c r="H104" s="139">
        <f t="shared" si="9"/>
        <v>0</v>
      </c>
      <c r="I104" s="139">
        <f>E104</f>
        <v>300</v>
      </c>
      <c r="J104" s="244"/>
    </row>
    <row r="105" spans="1:10" ht="16.5" customHeight="1" x14ac:dyDescent="0.35">
      <c r="A105" s="1"/>
      <c r="B105" s="254"/>
      <c r="C105" s="93" t="s">
        <v>38</v>
      </c>
      <c r="D105" s="143">
        <v>50</v>
      </c>
      <c r="E105" s="143">
        <v>50</v>
      </c>
      <c r="F105" s="98">
        <f>0.72478</f>
        <v>0.72477999999999998</v>
      </c>
      <c r="G105" s="98">
        <f>56.7055</f>
        <v>56.705500000000001</v>
      </c>
      <c r="H105" s="139">
        <f>E105-G105</f>
        <v>-6.7055000000000007</v>
      </c>
      <c r="I105" s="98">
        <f>19.40706</f>
        <v>19.407060000000001</v>
      </c>
      <c r="J105" s="244"/>
    </row>
    <row r="106" spans="1:10" ht="18" customHeight="1" x14ac:dyDescent="0.35">
      <c r="A106" s="1"/>
      <c r="B106" s="254"/>
      <c r="C106" s="93" t="s">
        <v>55</v>
      </c>
      <c r="D106" s="143"/>
      <c r="E106" s="139"/>
      <c r="F106" s="139">
        <f>1.185</f>
        <v>1.1850000000000001</v>
      </c>
      <c r="G106" s="139">
        <f>53.75992</f>
        <v>53.759920000000001</v>
      </c>
      <c r="H106" s="139">
        <f t="shared" ref="H106" si="10">E106-G106</f>
        <v>-53.759920000000001</v>
      </c>
      <c r="I106" s="139">
        <f>104.04606</f>
        <v>104.04606</v>
      </c>
      <c r="J106" s="244"/>
    </row>
    <row r="107" spans="1:10" ht="16.5" customHeight="1" x14ac:dyDescent="0.35">
      <c r="A107" s="1"/>
      <c r="B107" s="254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358.81428000000005</v>
      </c>
      <c r="G107" s="76">
        <f t="shared" si="12"/>
        <v>69123.924719999995</v>
      </c>
      <c r="H107" s="76">
        <f t="shared" si="12"/>
        <v>6500.07528</v>
      </c>
      <c r="I107" s="76">
        <f t="shared" si="12"/>
        <v>86608.753869999986</v>
      </c>
      <c r="J107" s="244"/>
    </row>
    <row r="108" spans="1:10" ht="13.5" customHeight="1" x14ac:dyDescent="0.35">
      <c r="A108" s="1"/>
      <c r="B108" s="254"/>
      <c r="C108" s="77" t="s">
        <v>129</v>
      </c>
      <c r="D108" s="100"/>
      <c r="E108" s="100"/>
      <c r="F108" s="102"/>
      <c r="G108" s="102"/>
      <c r="H108" s="104"/>
      <c r="I108" s="228"/>
      <c r="J108" s="244"/>
    </row>
    <row r="109" spans="1:10" ht="13.5" customHeight="1" x14ac:dyDescent="0.35">
      <c r="A109" s="1"/>
      <c r="B109" s="24"/>
      <c r="C109" s="161" t="s">
        <v>143</v>
      </c>
      <c r="D109" s="258"/>
      <c r="E109" s="258"/>
      <c r="F109" s="80"/>
      <c r="G109" s="80"/>
      <c r="H109" s="228"/>
      <c r="I109" s="228"/>
      <c r="J109" s="105"/>
    </row>
    <row r="110" spans="1:10" ht="15" customHeight="1" x14ac:dyDescent="0.35">
      <c r="A110" s="1"/>
      <c r="B110" s="24"/>
      <c r="C110" s="161" t="s">
        <v>130</v>
      </c>
      <c r="D110" s="258"/>
      <c r="E110" s="258"/>
      <c r="F110" s="80"/>
      <c r="G110" s="80"/>
      <c r="H110" s="228"/>
      <c r="I110" s="228"/>
      <c r="J110" s="105"/>
    </row>
    <row r="111" spans="1:10" ht="15" customHeight="1" x14ac:dyDescent="0.35">
      <c r="A111" s="1"/>
      <c r="B111" s="24"/>
      <c r="C111" s="228" t="s">
        <v>56</v>
      </c>
      <c r="D111" s="258"/>
      <c r="E111" s="258"/>
      <c r="F111" s="80"/>
      <c r="G111" s="80"/>
      <c r="H111" s="228"/>
      <c r="I111" s="228"/>
      <c r="J111" s="105"/>
    </row>
    <row r="112" spans="1:10" ht="12" customHeight="1" x14ac:dyDescent="0.3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35">
      <c r="A113" s="1"/>
      <c r="B113" s="101"/>
      <c r="C113" s="1" t="s">
        <v>113</v>
      </c>
      <c r="D113" s="228"/>
      <c r="E113" s="228"/>
      <c r="F113" s="228"/>
      <c r="G113" s="228"/>
      <c r="H113" s="228"/>
      <c r="I113" s="101"/>
      <c r="J113" s="101" t="s">
        <v>113</v>
      </c>
    </row>
    <row r="114" spans="1:10" ht="14.25" customHeight="1" x14ac:dyDescent="0.35">
      <c r="A114" s="1"/>
      <c r="B114" s="101"/>
      <c r="C114" s="101" t="s">
        <v>113</v>
      </c>
      <c r="D114" s="101" t="s">
        <v>113</v>
      </c>
      <c r="E114" s="101"/>
      <c r="F114" s="101"/>
      <c r="G114" s="101"/>
      <c r="H114" s="101"/>
      <c r="I114" s="101"/>
      <c r="J114" s="101" t="s">
        <v>113</v>
      </c>
    </row>
    <row r="115" spans="1:10" ht="17.149999999999999" customHeight="1" x14ac:dyDescent="0.35">
      <c r="A115" s="218"/>
      <c r="B115" s="218"/>
      <c r="C115" s="219" t="s">
        <v>57</v>
      </c>
      <c r="D115" s="218"/>
      <c r="E115" s="218"/>
      <c r="F115" s="218"/>
      <c r="G115" s="218"/>
      <c r="H115" s="218"/>
      <c r="I115" s="218"/>
      <c r="J115" s="218"/>
    </row>
    <row r="116" spans="1:10" ht="3" customHeight="1" x14ac:dyDescent="0.35">
      <c r="A116" s="218"/>
      <c r="B116" s="218"/>
      <c r="C116" s="219"/>
      <c r="D116" s="218"/>
      <c r="E116" s="218"/>
      <c r="F116" s="218"/>
      <c r="G116" s="218"/>
      <c r="H116" s="218"/>
      <c r="I116" s="218"/>
      <c r="J116" s="218"/>
    </row>
    <row r="117" spans="1:10" ht="14.15" customHeight="1" x14ac:dyDescent="0.3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3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4"/>
    </row>
    <row r="119" spans="1:10" ht="14.15" customHeight="1" x14ac:dyDescent="0.35">
      <c r="A119" s="1"/>
      <c r="B119" s="254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4"/>
    </row>
    <row r="120" spans="1:10" ht="14.15" customHeight="1" x14ac:dyDescent="0.35">
      <c r="A120" s="1"/>
      <c r="B120" s="254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4"/>
    </row>
    <row r="121" spans="1:10" ht="14.15" customHeight="1" x14ac:dyDescent="0.35">
      <c r="A121" s="1"/>
      <c r="B121" s="254"/>
      <c r="C121" s="248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4"/>
    </row>
    <row r="122" spans="1:10" ht="14.15" customHeight="1" x14ac:dyDescent="0.3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4"/>
    </row>
    <row r="123" spans="1:10" ht="12" customHeight="1" x14ac:dyDescent="0.35">
      <c r="A123" s="1"/>
      <c r="B123" s="254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4"/>
    </row>
    <row r="124" spans="1:10" ht="12" customHeight="1" x14ac:dyDescent="0.35">
      <c r="A124" s="101"/>
      <c r="B124" s="24"/>
      <c r="C124" s="101" t="s">
        <v>114</v>
      </c>
      <c r="D124" s="101"/>
      <c r="E124" s="101"/>
      <c r="F124" s="101"/>
      <c r="G124" s="101"/>
      <c r="H124" s="101"/>
      <c r="I124" s="101"/>
      <c r="J124" s="157"/>
    </row>
    <row r="125" spans="1:10" ht="17.149999999999999" customHeight="1" x14ac:dyDescent="0.35">
      <c r="A125" s="1"/>
      <c r="B125" s="241"/>
      <c r="C125" s="272"/>
      <c r="D125" s="272"/>
      <c r="E125" s="233"/>
      <c r="F125" s="233"/>
      <c r="G125" s="233"/>
      <c r="H125" s="233"/>
      <c r="I125" s="233"/>
      <c r="J125" s="245"/>
    </row>
    <row r="126" spans="1:10" ht="25.5" customHeight="1" x14ac:dyDescent="0.35">
      <c r="A126" s="1"/>
      <c r="B126" s="254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35">
      <c r="A127" s="156"/>
      <c r="B127" s="52"/>
      <c r="C127" s="264" t="s">
        <v>16</v>
      </c>
      <c r="D127" s="15" t="s">
        <v>17</v>
      </c>
      <c r="E127" s="15" t="s">
        <v>61</v>
      </c>
      <c r="F127" s="15" t="s">
        <v>146</v>
      </c>
      <c r="G127" s="15" t="s">
        <v>147</v>
      </c>
      <c r="H127" s="15" t="s">
        <v>148</v>
      </c>
      <c r="I127" s="15" t="s">
        <v>149</v>
      </c>
      <c r="J127" s="280"/>
    </row>
    <row r="128" spans="1:10" ht="14.15" customHeight="1" x14ac:dyDescent="0.35">
      <c r="A128" s="1"/>
      <c r="B128" s="254"/>
      <c r="C128" s="16" t="s">
        <v>62</v>
      </c>
      <c r="D128" s="28">
        <f>D129+D130+D131</f>
        <v>75860</v>
      </c>
      <c r="E128" s="28">
        <f>E129+E130+E131</f>
        <v>72627</v>
      </c>
      <c r="F128" s="11">
        <f t="shared" ref="F128:I128" si="13">F129+F130+F131</f>
        <v>1240.84845</v>
      </c>
      <c r="G128" s="11">
        <f t="shared" si="13"/>
        <v>61565.279830000007</v>
      </c>
      <c r="H128" s="11">
        <f t="shared" si="13"/>
        <v>11061.720170000001</v>
      </c>
      <c r="I128" s="11">
        <f t="shared" si="13"/>
        <v>70635.033790000001</v>
      </c>
      <c r="J128" s="244"/>
    </row>
    <row r="129" spans="1:10" ht="14.15" customHeight="1" x14ac:dyDescent="0.35">
      <c r="A129" s="1"/>
      <c r="B129" s="254"/>
      <c r="C129" s="44" t="s">
        <v>20</v>
      </c>
      <c r="D129" s="45">
        <v>60688</v>
      </c>
      <c r="E129" s="45">
        <v>57854</v>
      </c>
      <c r="F129" s="23">
        <f>1240.84845</f>
        <v>1240.84845</v>
      </c>
      <c r="G129" s="23">
        <f>54935.8211</f>
        <v>54935.821100000001</v>
      </c>
      <c r="H129" s="23">
        <f>E129-G129</f>
        <v>2918.178899999999</v>
      </c>
      <c r="I129" s="23">
        <f>60595.58479</f>
        <v>60595.584790000001</v>
      </c>
      <c r="J129" s="244"/>
    </row>
    <row r="130" spans="1:10" ht="15" customHeight="1" x14ac:dyDescent="0.35">
      <c r="A130" s="1"/>
      <c r="B130" s="254"/>
      <c r="C130" s="44" t="s">
        <v>21</v>
      </c>
      <c r="D130" s="45">
        <v>14672</v>
      </c>
      <c r="E130" s="45">
        <v>14273</v>
      </c>
      <c r="F130" s="23">
        <f>0</f>
        <v>0</v>
      </c>
      <c r="G130" s="23">
        <f>6552.94458</f>
        <v>6552.9445800000003</v>
      </c>
      <c r="H130" s="23">
        <f>E130-G130</f>
        <v>7720.0554199999997</v>
      </c>
      <c r="I130" s="23">
        <f>9884.16295</f>
        <v>9884.1629499999999</v>
      </c>
      <c r="J130" s="244"/>
    </row>
    <row r="131" spans="1:10" ht="13.5" customHeight="1" x14ac:dyDescent="0.35">
      <c r="A131" s="1"/>
      <c r="B131" s="254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76.51415</f>
        <v>76.514150000000001</v>
      </c>
      <c r="H131" s="55">
        <f>E131-G131</f>
        <v>423.48585000000003</v>
      </c>
      <c r="I131" s="23">
        <f>155.28605</f>
        <v>155.28604999999999</v>
      </c>
      <c r="J131" s="244"/>
    </row>
    <row r="132" spans="1:10" ht="14.25" customHeight="1" x14ac:dyDescent="0.35">
      <c r="A132" s="67"/>
      <c r="B132" s="78"/>
      <c r="C132" s="88" t="s">
        <v>64</v>
      </c>
      <c r="D132" s="91">
        <v>51257</v>
      </c>
      <c r="E132" s="91">
        <v>52483</v>
      </c>
      <c r="F132" s="95">
        <f>27.749</f>
        <v>27.748999999999999</v>
      </c>
      <c r="G132" s="95">
        <f>16706.1028+7183.0032</f>
        <v>23889.106</v>
      </c>
      <c r="H132" s="95">
        <f>E132-G132</f>
        <v>28593.894</v>
      </c>
      <c r="I132" s="95">
        <f>39024.31718</f>
        <v>39024.317179999998</v>
      </c>
      <c r="J132" s="116"/>
    </row>
    <row r="133" spans="1:10" ht="15.75" customHeight="1" x14ac:dyDescent="0.35">
      <c r="A133" s="1"/>
      <c r="B133" s="254"/>
      <c r="C133" s="142" t="s">
        <v>22</v>
      </c>
      <c r="D133" s="143">
        <f>D134+D139+D142</f>
        <v>79534</v>
      </c>
      <c r="E133" s="143">
        <f>E134+E139+E142</f>
        <v>80329</v>
      </c>
      <c r="F133" s="94">
        <f>F134+F139+F142</f>
        <v>1797.1772199999998</v>
      </c>
      <c r="G133" s="94">
        <f t="shared" ref="G133" si="14">G134+G139+G142</f>
        <v>69512.768679999994</v>
      </c>
      <c r="H133" s="94">
        <f>H134+H139+H142</f>
        <v>10816.231319999999</v>
      </c>
      <c r="I133" s="94">
        <f>I134+I139+I142</f>
        <v>83894.868170000002</v>
      </c>
      <c r="J133" s="120"/>
    </row>
    <row r="134" spans="1:10" ht="14.15" customHeight="1" x14ac:dyDescent="0.3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59251</v>
      </c>
      <c r="F134" s="125">
        <f>F135+F136+F137+F138</f>
        <v>1682.8736199999998</v>
      </c>
      <c r="G134" s="125">
        <f>G135+G136+G138+G137</f>
        <v>53359.965169999996</v>
      </c>
      <c r="H134" s="125">
        <f>H135+H136+H137+H138</f>
        <v>5891.0348299999987</v>
      </c>
      <c r="I134" s="125">
        <f>I135+I136+I137+I138</f>
        <v>66499.792629999996</v>
      </c>
      <c r="J134" s="280"/>
    </row>
    <row r="135" spans="1:10" ht="14.15" customHeight="1" x14ac:dyDescent="0.35">
      <c r="A135" s="197"/>
      <c r="B135" s="126"/>
      <c r="C135" s="62" t="s">
        <v>24</v>
      </c>
      <c r="D135" s="63">
        <v>15960</v>
      </c>
      <c r="E135" s="63">
        <v>17770</v>
      </c>
      <c r="F135" s="127">
        <f>360.79301</f>
        <v>360.79300999999998</v>
      </c>
      <c r="G135" s="127">
        <v>12130.430050000001</v>
      </c>
      <c r="H135" s="127">
        <f>E135-G135</f>
        <v>5639.5699499999992</v>
      </c>
      <c r="I135" s="127">
        <f>12239.53259</f>
        <v>12239.532590000001</v>
      </c>
      <c r="J135" s="128"/>
    </row>
    <row r="136" spans="1:10" ht="14.15" customHeight="1" x14ac:dyDescent="0.35">
      <c r="A136" s="197"/>
      <c r="B136" s="182"/>
      <c r="C136" s="62" t="s">
        <v>51</v>
      </c>
      <c r="D136" s="63">
        <v>16404</v>
      </c>
      <c r="E136" s="63">
        <v>14935</v>
      </c>
      <c r="F136" s="127">
        <f>690.74926</f>
        <v>690.74926000000005</v>
      </c>
      <c r="G136" s="127">
        <v>15320.680965</v>
      </c>
      <c r="H136" s="127">
        <f>E136-G136</f>
        <v>-385.68096499999956</v>
      </c>
      <c r="I136" s="127">
        <f>18350.00794</f>
        <v>18350.00794</v>
      </c>
      <c r="J136" s="129"/>
    </row>
    <row r="137" spans="1:10" ht="14.15" customHeight="1" x14ac:dyDescent="0.35">
      <c r="A137" s="197"/>
      <c r="B137" s="182"/>
      <c r="C137" s="62" t="s">
        <v>52</v>
      </c>
      <c r="D137" s="63">
        <v>14385</v>
      </c>
      <c r="E137" s="63">
        <v>13047</v>
      </c>
      <c r="F137" s="127">
        <f>398.63215</f>
        <v>398.63215000000002</v>
      </c>
      <c r="G137" s="127">
        <v>13579.070244999999</v>
      </c>
      <c r="H137" s="127">
        <f>E137-G137</f>
        <v>-532.07024499999898</v>
      </c>
      <c r="I137" s="127">
        <f>19496.99626</f>
        <v>19496.99626</v>
      </c>
      <c r="J137" s="129"/>
    </row>
    <row r="138" spans="1:10" ht="14.15" customHeight="1" x14ac:dyDescent="0.35">
      <c r="A138" s="197"/>
      <c r="B138" s="182"/>
      <c r="C138" s="62" t="s">
        <v>27</v>
      </c>
      <c r="D138" s="63">
        <v>13308</v>
      </c>
      <c r="E138" s="63">
        <v>13499</v>
      </c>
      <c r="F138" s="127">
        <f>232.6992</f>
        <v>232.69919999999999</v>
      </c>
      <c r="G138" s="127">
        <v>12329.783910000002</v>
      </c>
      <c r="H138" s="127">
        <f>E138-G138</f>
        <v>1169.2160899999981</v>
      </c>
      <c r="I138" s="127">
        <f>16413.25584</f>
        <v>16413.255840000002</v>
      </c>
      <c r="J138" s="129"/>
    </row>
    <row r="139" spans="1:10" ht="14.15" customHeight="1" x14ac:dyDescent="0.35">
      <c r="A139" s="66"/>
      <c r="B139" s="53"/>
      <c r="C139" s="56" t="s">
        <v>29</v>
      </c>
      <c r="D139" s="58">
        <f>D140+D141</f>
        <v>8570</v>
      </c>
      <c r="E139" s="58">
        <f>E140+E141</f>
        <v>8925</v>
      </c>
      <c r="F139" s="132">
        <f>SUM(F140:F141)</f>
        <v>10.247589999999999</v>
      </c>
      <c r="G139" s="132">
        <f>SUM(G140:G141)</f>
        <v>9277.9018300000007</v>
      </c>
      <c r="H139" s="132">
        <f>H140+H141</f>
        <v>-352.90182999999996</v>
      </c>
      <c r="I139" s="132">
        <f>SUM(I140:I141)</f>
        <v>8622.024449999999</v>
      </c>
      <c r="J139" s="133"/>
    </row>
    <row r="140" spans="1:10" ht="14.15" customHeight="1" x14ac:dyDescent="0.35">
      <c r="A140" s="1"/>
      <c r="B140" s="254"/>
      <c r="C140" s="62" t="s">
        <v>66</v>
      </c>
      <c r="D140" s="63">
        <v>8070</v>
      </c>
      <c r="E140" s="63">
        <v>8425</v>
      </c>
      <c r="F140" s="127">
        <f>4.79479</f>
        <v>4.7947899999999999</v>
      </c>
      <c r="G140" s="127">
        <f>8803.8017</f>
        <v>8803.8017</v>
      </c>
      <c r="H140" s="127">
        <f t="shared" ref="H140:H148" si="15">E140-G140</f>
        <v>-378.80169999999998</v>
      </c>
      <c r="I140" s="127">
        <f>8337.20839</f>
        <v>8337.2083899999998</v>
      </c>
      <c r="J140" s="120"/>
    </row>
    <row r="141" spans="1:10" ht="15" customHeight="1" x14ac:dyDescent="0.35">
      <c r="A141" s="1"/>
      <c r="B141" s="53"/>
      <c r="C141" s="62" t="s">
        <v>67</v>
      </c>
      <c r="D141" s="63">
        <v>500</v>
      </c>
      <c r="E141" s="63">
        <v>500</v>
      </c>
      <c r="F141" s="127">
        <f>5.4528</f>
        <v>5.4527999999999999</v>
      </c>
      <c r="G141" s="127">
        <f>474.10013</f>
        <v>474.10012999999998</v>
      </c>
      <c r="H141" s="127">
        <f t="shared" si="15"/>
        <v>25.899870000000021</v>
      </c>
      <c r="I141" s="127">
        <f>284.81606</f>
        <v>284.81605999999999</v>
      </c>
      <c r="J141" s="134"/>
    </row>
    <row r="142" spans="1:10" ht="15.75" customHeight="1" x14ac:dyDescent="0.35">
      <c r="A142" s="1"/>
      <c r="B142" s="254"/>
      <c r="C142" s="38" t="s">
        <v>11</v>
      </c>
      <c r="D142" s="61">
        <v>10907</v>
      </c>
      <c r="E142" s="61">
        <v>12153</v>
      </c>
      <c r="F142" s="75">
        <f>104.05601</f>
        <v>104.05601</v>
      </c>
      <c r="G142" s="75">
        <f>6874.90168</f>
        <v>6874.9016799999999</v>
      </c>
      <c r="H142" s="75">
        <f t="shared" si="15"/>
        <v>5278.0983200000001</v>
      </c>
      <c r="I142" s="75">
        <f>8773.05109</f>
        <v>8773.0510900000008</v>
      </c>
      <c r="J142" s="120"/>
    </row>
    <row r="143" spans="1:10" ht="15.75" customHeight="1" x14ac:dyDescent="0.35">
      <c r="A143" s="1"/>
      <c r="B143" s="254"/>
      <c r="C143" s="142" t="s">
        <v>34</v>
      </c>
      <c r="D143" s="143">
        <v>146</v>
      </c>
      <c r="E143" s="143">
        <v>146</v>
      </c>
      <c r="F143" s="139">
        <f>0</f>
        <v>0</v>
      </c>
      <c r="G143" s="139">
        <f>16.4778</f>
        <v>16.477799999999998</v>
      </c>
      <c r="H143" s="139">
        <f t="shared" si="15"/>
        <v>129.5222</v>
      </c>
      <c r="I143" s="139">
        <f>34.47598</f>
        <v>34.47598</v>
      </c>
      <c r="J143" s="120"/>
    </row>
    <row r="144" spans="1:10" ht="15.75" customHeight="1" x14ac:dyDescent="0.35">
      <c r="A144" s="1"/>
      <c r="B144" s="254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256.036</f>
        <v>256.036</v>
      </c>
      <c r="H144" s="98">
        <f t="shared" si="15"/>
        <v>-6.0360000000000014</v>
      </c>
      <c r="I144" s="98">
        <f>262.581</f>
        <v>262.58100000000002</v>
      </c>
      <c r="J144" s="120"/>
    </row>
    <row r="145" spans="1:10" ht="18" customHeight="1" x14ac:dyDescent="0.35">
      <c r="A145" s="1"/>
      <c r="B145" s="254"/>
      <c r="C145" s="140" t="s">
        <v>69</v>
      </c>
      <c r="D145" s="143">
        <v>2000</v>
      </c>
      <c r="E145" s="143">
        <v>2000</v>
      </c>
      <c r="F145" s="139">
        <f>1.24223</f>
        <v>1.2422299999999999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4"/>
    </row>
    <row r="146" spans="1:10" ht="15.75" customHeight="1" x14ac:dyDescent="0.35">
      <c r="A146" s="1"/>
      <c r="B146" s="254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35">
      <c r="A147" s="1"/>
      <c r="B147" s="254"/>
      <c r="C147" s="142" t="s">
        <v>70</v>
      </c>
      <c r="D147" s="143">
        <v>276</v>
      </c>
      <c r="E147" s="143">
        <v>276</v>
      </c>
      <c r="F147" s="98">
        <f>3.8752</f>
        <v>3.8752</v>
      </c>
      <c r="G147" s="98">
        <f>83.42661</f>
        <v>83.426609999999997</v>
      </c>
      <c r="H147" s="139">
        <f t="shared" si="15"/>
        <v>192.57339000000002</v>
      </c>
      <c r="I147" s="98">
        <f>42.12301</f>
        <v>42.123010000000001</v>
      </c>
      <c r="J147" s="120"/>
    </row>
    <row r="148" spans="1:10" ht="15" customHeight="1" x14ac:dyDescent="0.35">
      <c r="A148" s="1"/>
      <c r="B148" s="254"/>
      <c r="C148" s="142" t="s">
        <v>39</v>
      </c>
      <c r="D148" s="145"/>
      <c r="E148" s="143"/>
      <c r="F148" s="139">
        <f>0.138</f>
        <v>0.13800000000000001</v>
      </c>
      <c r="G148" s="139">
        <f>292.85624</f>
        <v>292.85624000000001</v>
      </c>
      <c r="H148" s="139">
        <f t="shared" si="15"/>
        <v>-292.85624000000001</v>
      </c>
      <c r="I148" s="139">
        <f>627.82221</f>
        <v>627.82221000000004</v>
      </c>
      <c r="J148" s="120"/>
    </row>
    <row r="149" spans="1:10" ht="0" hidden="1" customHeight="1" x14ac:dyDescent="0.3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3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208111</v>
      </c>
      <c r="F150" s="76">
        <f>F128+F132+F133+F143+F144+F145+F146+F147+F148</f>
        <v>3071.0300999999995</v>
      </c>
      <c r="G150" s="76">
        <f>G128+G132+G133+G143+G144+G145+G146+G147+G148</f>
        <v>157615.95116</v>
      </c>
      <c r="H150" s="76">
        <f>H128+H132+H133+H143+H144+H145+H146+H147+H148</f>
        <v>50495.048839999996</v>
      </c>
      <c r="I150" s="76">
        <f>I128+I132+I133+I143+I144+I145+I146+I147+I148</f>
        <v>196521.22134000002</v>
      </c>
      <c r="J150" s="160"/>
    </row>
    <row r="151" spans="1:10" ht="14.25" customHeight="1" x14ac:dyDescent="0.3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35">
      <c r="A152" s="156"/>
      <c r="B152" s="52"/>
      <c r="C152" s="101" t="s">
        <v>131</v>
      </c>
      <c r="D152" s="119"/>
      <c r="E152" s="119"/>
      <c r="F152" s="119"/>
      <c r="G152" s="119"/>
      <c r="H152" s="163"/>
      <c r="I152" s="156"/>
      <c r="J152" s="280"/>
    </row>
    <row r="153" spans="1:10" ht="14.25" customHeight="1" x14ac:dyDescent="0.35">
      <c r="A153" s="156"/>
      <c r="B153" s="52"/>
      <c r="C153" s="161" t="s">
        <v>150</v>
      </c>
      <c r="D153" s="119"/>
      <c r="E153" s="119"/>
      <c r="F153" s="119"/>
      <c r="G153" s="119"/>
      <c r="H153" s="163"/>
      <c r="I153" s="156"/>
      <c r="J153" s="280"/>
    </row>
    <row r="154" spans="1:10" ht="14.25" customHeight="1" x14ac:dyDescent="0.35">
      <c r="A154" s="156"/>
      <c r="B154" s="52"/>
      <c r="C154" s="77" t="s">
        <v>144</v>
      </c>
      <c r="D154" s="119"/>
      <c r="E154" s="119"/>
      <c r="F154" s="119"/>
      <c r="G154" s="119"/>
      <c r="H154" s="163"/>
      <c r="I154" s="163"/>
      <c r="J154" s="280"/>
    </row>
    <row r="155" spans="1:10" ht="15.75" customHeight="1" x14ac:dyDescent="0.3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80"/>
    </row>
    <row r="156" spans="1:10" ht="15.75" customHeight="1" x14ac:dyDescent="0.35">
      <c r="A156" s="156"/>
      <c r="B156" s="52"/>
      <c r="C156" s="77" t="s">
        <v>132</v>
      </c>
      <c r="D156" s="119"/>
      <c r="E156" s="119"/>
      <c r="F156" s="119"/>
      <c r="G156" s="119"/>
      <c r="H156" s="163"/>
      <c r="I156" s="163"/>
      <c r="J156" s="280"/>
    </row>
    <row r="157" spans="1:10" ht="12" customHeight="1" x14ac:dyDescent="0.3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3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3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3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3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35">
      <c r="A162" s="1" t="s">
        <v>113</v>
      </c>
      <c r="B162" s="2"/>
      <c r="C162" s="219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35">
      <c r="A163" s="1"/>
      <c r="B163" s="2"/>
      <c r="C163" s="219"/>
      <c r="D163" s="2"/>
      <c r="E163" s="2"/>
      <c r="F163" s="2"/>
      <c r="G163" s="2"/>
      <c r="H163" s="2"/>
      <c r="I163" s="2"/>
      <c r="J163" s="2"/>
    </row>
    <row r="164" spans="1:10" ht="12" customHeight="1" x14ac:dyDescent="0.35">
      <c r="A164" s="1" t="s">
        <v>113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5" customHeight="1" x14ac:dyDescent="0.35">
      <c r="A165" s="1" t="s">
        <v>113</v>
      </c>
      <c r="B165" s="254"/>
      <c r="C165" s="149" t="s">
        <v>1</v>
      </c>
      <c r="D165" s="185"/>
      <c r="E165" s="281"/>
      <c r="F165" s="281"/>
      <c r="G165" s="281"/>
      <c r="H165" s="1"/>
      <c r="I165" s="1"/>
      <c r="J165" s="120"/>
    </row>
    <row r="166" spans="1:10" ht="14.15" customHeight="1" x14ac:dyDescent="0.35">
      <c r="A166" s="1"/>
      <c r="B166" s="254"/>
      <c r="C166" s="177" t="s">
        <v>6</v>
      </c>
      <c r="D166" s="189">
        <v>10823</v>
      </c>
      <c r="E166" s="281"/>
      <c r="F166" s="281"/>
      <c r="G166" s="281"/>
      <c r="H166" s="1"/>
      <c r="I166" s="1"/>
      <c r="J166" s="120"/>
    </row>
    <row r="167" spans="1:10" ht="14.15" customHeight="1" x14ac:dyDescent="0.35">
      <c r="A167" s="1"/>
      <c r="B167" s="254"/>
      <c r="C167" s="177" t="s">
        <v>9</v>
      </c>
      <c r="D167" s="189">
        <f>8888 + 750</f>
        <v>9638</v>
      </c>
      <c r="E167" s="281"/>
      <c r="F167" s="281"/>
      <c r="G167" s="235"/>
      <c r="H167" s="1"/>
      <c r="I167" s="1"/>
      <c r="J167" s="120"/>
    </row>
    <row r="168" spans="1:10" ht="14.15" customHeight="1" x14ac:dyDescent="0.35">
      <c r="A168" s="1"/>
      <c r="B168" s="254"/>
      <c r="C168" s="177" t="s">
        <v>74</v>
      </c>
      <c r="D168" s="189">
        <v>790</v>
      </c>
      <c r="E168" s="281"/>
      <c r="F168" s="281"/>
      <c r="G168" s="281"/>
      <c r="H168" s="1"/>
      <c r="I168" s="1"/>
      <c r="J168" s="120"/>
    </row>
    <row r="169" spans="1:10" ht="14.15" customHeight="1" x14ac:dyDescent="0.35">
      <c r="A169" s="1"/>
      <c r="B169" s="254"/>
      <c r="C169" s="177" t="s">
        <v>49</v>
      </c>
      <c r="D169" s="189">
        <f>SUM(D166:D168)</f>
        <v>21251</v>
      </c>
      <c r="E169" s="281"/>
      <c r="F169" s="281"/>
      <c r="G169" s="281"/>
      <c r="H169" s="1"/>
      <c r="I169" s="1"/>
      <c r="J169" s="120"/>
    </row>
    <row r="170" spans="1:10" ht="14.15" customHeight="1" x14ac:dyDescent="0.35">
      <c r="A170" s="1"/>
      <c r="B170" s="254"/>
      <c r="C170" s="1"/>
      <c r="D170" s="47"/>
      <c r="E170" s="281"/>
      <c r="F170" s="281"/>
      <c r="G170" s="281"/>
      <c r="H170" s="1"/>
      <c r="I170" s="1"/>
      <c r="J170" s="120"/>
    </row>
    <row r="171" spans="1:10" ht="3.75" customHeight="1" x14ac:dyDescent="0.35">
      <c r="A171" s="1"/>
      <c r="B171" s="241"/>
      <c r="C171" s="159"/>
      <c r="D171" s="159"/>
      <c r="E171" s="267"/>
      <c r="F171" s="267"/>
      <c r="G171" s="267"/>
      <c r="H171" s="233"/>
      <c r="I171" s="233"/>
      <c r="J171" s="245"/>
    </row>
    <row r="172" spans="1:10" ht="24.75" customHeight="1" x14ac:dyDescent="0.35">
      <c r="A172" s="1"/>
      <c r="B172" s="254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35">
      <c r="A173" s="1"/>
      <c r="B173" s="198"/>
      <c r="C173" s="224"/>
      <c r="D173" s="224"/>
      <c r="E173" s="224"/>
      <c r="F173" s="224"/>
      <c r="G173" s="224"/>
      <c r="H173" s="224"/>
      <c r="I173" s="224"/>
      <c r="J173" s="13"/>
    </row>
    <row r="174" spans="1:10" ht="61.5" customHeight="1" x14ac:dyDescent="0.35">
      <c r="A174" s="156"/>
      <c r="B174" s="52"/>
      <c r="C174" s="15" t="s">
        <v>16</v>
      </c>
      <c r="D174" s="175" t="s">
        <v>2</v>
      </c>
      <c r="E174" s="15" t="s">
        <v>146</v>
      </c>
      <c r="F174" s="15" t="s">
        <v>147</v>
      </c>
      <c r="G174" s="54" t="s">
        <v>148</v>
      </c>
      <c r="H174" s="15" t="s">
        <v>149</v>
      </c>
      <c r="I174" s="156"/>
      <c r="J174" s="280"/>
    </row>
    <row r="175" spans="1:10" ht="14.15" customHeight="1" x14ac:dyDescent="0.35">
      <c r="A175" s="1"/>
      <c r="B175" s="254"/>
      <c r="C175" s="141" t="s">
        <v>75</v>
      </c>
      <c r="D175" s="94">
        <v>4223</v>
      </c>
      <c r="E175" s="276">
        <f>53.16556</f>
        <v>53.165559999999999</v>
      </c>
      <c r="F175" s="276">
        <f>1594.07477</f>
        <v>1594.0747699999999</v>
      </c>
      <c r="G175" s="43">
        <f>D175-F175-F176</f>
        <v>999.31402999999978</v>
      </c>
      <c r="H175" s="276">
        <f>2296.80795</f>
        <v>2296.8079499999999</v>
      </c>
      <c r="I175" s="1"/>
      <c r="J175" s="120"/>
    </row>
    <row r="176" spans="1:10" ht="14.15" customHeight="1" x14ac:dyDescent="0.35">
      <c r="A176" s="1"/>
      <c r="B176" s="254"/>
      <c r="C176" s="137" t="s">
        <v>53</v>
      </c>
      <c r="D176" s="181"/>
      <c r="E176" s="152">
        <f>0</f>
        <v>0</v>
      </c>
      <c r="F176" s="152">
        <f>1629.6112</f>
        <v>1629.6112000000001</v>
      </c>
      <c r="G176" s="217"/>
      <c r="H176" s="152">
        <f>1971.31746</f>
        <v>1971.31746</v>
      </c>
      <c r="I176" s="1"/>
      <c r="J176" s="120"/>
    </row>
    <row r="177" spans="1:10" ht="15.65" customHeight="1" x14ac:dyDescent="0.35">
      <c r="A177" s="1"/>
      <c r="B177" s="254"/>
      <c r="C177" s="169" t="s">
        <v>76</v>
      </c>
      <c r="D177" s="98">
        <v>200</v>
      </c>
      <c r="E177" s="172">
        <f>0.12328</f>
        <v>0.12328</v>
      </c>
      <c r="F177" s="172">
        <f>125.82859</f>
        <v>125.82859000000001</v>
      </c>
      <c r="G177" s="172">
        <f>D177-F177</f>
        <v>74.171409999999995</v>
      </c>
      <c r="H177" s="172">
        <f>77.66978</f>
        <v>77.669780000000003</v>
      </c>
      <c r="I177" s="1"/>
      <c r="J177" s="120"/>
    </row>
    <row r="178" spans="1:10" ht="14.15" customHeight="1" x14ac:dyDescent="0.35">
      <c r="A178" s="67"/>
      <c r="B178" s="78"/>
      <c r="C178" s="180" t="s">
        <v>77</v>
      </c>
      <c r="D178" s="181">
        <v>6334</v>
      </c>
      <c r="E178" s="181">
        <f>E179+E180+E181</f>
        <v>1.9643300000000001</v>
      </c>
      <c r="F178" s="181">
        <f>F179+F180+F181</f>
        <v>5992.66777</v>
      </c>
      <c r="G178" s="181">
        <f>D178-F178</f>
        <v>341.33222999999998</v>
      </c>
      <c r="H178" s="181">
        <f>H179+H180+H181</f>
        <v>8197.7211500000012</v>
      </c>
      <c r="I178" s="67"/>
      <c r="J178" s="116"/>
    </row>
    <row r="179" spans="1:10" ht="14.15" customHeight="1" x14ac:dyDescent="0.35">
      <c r="A179" s="197"/>
      <c r="B179" s="182"/>
      <c r="C179" s="183" t="s">
        <v>78</v>
      </c>
      <c r="D179" s="127"/>
      <c r="E179" s="127">
        <f>0.47265</f>
        <v>0.47265000000000001</v>
      </c>
      <c r="F179" s="127">
        <f>3093.14483</f>
        <v>3093.1448300000002</v>
      </c>
      <c r="G179" s="127"/>
      <c r="H179" s="127">
        <f>4200.38587</f>
        <v>4200.3858700000001</v>
      </c>
      <c r="I179" s="186"/>
      <c r="J179" s="129"/>
    </row>
    <row r="180" spans="1:10" ht="14.15" customHeight="1" x14ac:dyDescent="0.35">
      <c r="A180" s="197"/>
      <c r="B180" s="182"/>
      <c r="C180" s="183" t="s">
        <v>79</v>
      </c>
      <c r="D180" s="127"/>
      <c r="E180" s="127">
        <f>1.41012</f>
        <v>1.41012</v>
      </c>
      <c r="F180" s="127">
        <f>1833.96115</f>
        <v>1833.9611500000001</v>
      </c>
      <c r="G180" s="127"/>
      <c r="H180" s="127">
        <f>2529.13067</f>
        <v>2529.13067</v>
      </c>
      <c r="I180" s="186"/>
      <c r="J180" s="187"/>
    </row>
    <row r="181" spans="1:10" ht="14.15" customHeight="1" x14ac:dyDescent="0.35">
      <c r="A181" s="197"/>
      <c r="B181" s="182"/>
      <c r="C181" s="188" t="s">
        <v>80</v>
      </c>
      <c r="D181" s="192"/>
      <c r="E181" s="192">
        <f>0.08156</f>
        <v>8.1559999999999994E-2</v>
      </c>
      <c r="F181" s="192">
        <f>1065.56179</f>
        <v>1065.56179</v>
      </c>
      <c r="G181" s="192"/>
      <c r="H181" s="192">
        <f>1468.20461</f>
        <v>1468.20461</v>
      </c>
      <c r="I181" s="186"/>
      <c r="J181" s="187"/>
    </row>
    <row r="182" spans="1:10" ht="14.15" customHeight="1" x14ac:dyDescent="0.35">
      <c r="A182" s="1"/>
      <c r="B182" s="254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4"/>
    </row>
    <row r="183" spans="1:10" ht="16.5" customHeight="1" x14ac:dyDescent="0.35">
      <c r="A183" s="1"/>
      <c r="B183" s="254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4"/>
    </row>
    <row r="184" spans="1:10" ht="19.399999999999999" customHeight="1" x14ac:dyDescent="0.3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55.253169999999997</v>
      </c>
      <c r="F184" s="194">
        <f>F175+F176+F177+F178+F182+F183</f>
        <v>9342.1823299999996</v>
      </c>
      <c r="G184" s="194">
        <f>D184-F184</f>
        <v>1480.8176700000004</v>
      </c>
      <c r="H184" s="194">
        <f>H175+H176+H177+H178+H182+H183</f>
        <v>12543.516340000002</v>
      </c>
      <c r="I184" s="163"/>
      <c r="J184" s="160"/>
    </row>
    <row r="185" spans="1:10" ht="42" customHeight="1" x14ac:dyDescent="0.35">
      <c r="A185" s="1"/>
      <c r="B185" s="198"/>
      <c r="C185" s="227" t="s">
        <v>137</v>
      </c>
      <c r="D185" s="227"/>
      <c r="E185" s="227"/>
      <c r="F185" s="227"/>
      <c r="G185" s="227"/>
      <c r="H185" s="224"/>
      <c r="I185" s="224"/>
      <c r="J185" s="13"/>
    </row>
    <row r="186" spans="1:10" ht="12" customHeight="1" x14ac:dyDescent="0.35">
      <c r="A186" s="156" t="s">
        <v>113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3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35">
      <c r="A188" s="150" t="s">
        <v>113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5">
      <c r="A189" s="150"/>
      <c r="B189" s="1"/>
      <c r="C189" s="215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5">
      <c r="A190" s="150" t="s">
        <v>113</v>
      </c>
      <c r="B190" s="1"/>
      <c r="C190" s="215"/>
      <c r="D190" s="170"/>
      <c r="E190" s="170"/>
      <c r="F190" s="170"/>
      <c r="G190" s="170"/>
      <c r="H190" s="1"/>
      <c r="I190" s="1"/>
      <c r="J190" s="1"/>
    </row>
    <row r="191" spans="1:10" ht="12" customHeight="1" x14ac:dyDescent="0.35">
      <c r="A191" s="150"/>
      <c r="B191" s="138"/>
      <c r="C191" s="226"/>
      <c r="D191" s="237"/>
      <c r="E191" s="237"/>
      <c r="F191" s="237"/>
      <c r="G191" s="237"/>
      <c r="H191" s="154"/>
      <c r="I191" s="154"/>
      <c r="J191" s="162"/>
    </row>
    <row r="192" spans="1:10" ht="15" customHeight="1" x14ac:dyDescent="0.35">
      <c r="A192" s="150"/>
      <c r="B192" s="254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35">
      <c r="A193" s="150"/>
      <c r="B193" s="254"/>
      <c r="C193" s="259" t="s">
        <v>84</v>
      </c>
      <c r="D193" s="270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35">
      <c r="A194" s="150"/>
      <c r="B194" s="254"/>
      <c r="C194" s="248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35">
      <c r="A195" s="150"/>
      <c r="B195" s="254"/>
      <c r="C195" s="248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35">
      <c r="A196" s="150"/>
      <c r="B196" s="254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35">
      <c r="A197" s="1"/>
      <c r="B197" s="254"/>
      <c r="C197" s="101" t="s">
        <v>119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35">
      <c r="A198" s="1"/>
      <c r="B198" s="254"/>
      <c r="C198" s="101" t="s">
        <v>120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35">
      <c r="A199" s="1"/>
      <c r="B199" s="254"/>
      <c r="C199" s="101" t="s">
        <v>123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35">
      <c r="A200" s="1"/>
      <c r="B200" s="241"/>
      <c r="C200" s="267"/>
      <c r="D200" s="159"/>
      <c r="E200" s="159"/>
      <c r="F200" s="267"/>
      <c r="G200" s="267"/>
      <c r="H200" s="267"/>
      <c r="I200" s="233"/>
      <c r="J200" s="245"/>
    </row>
    <row r="201" spans="1:10" ht="23.25" customHeight="1" x14ac:dyDescent="0.35">
      <c r="A201" s="1"/>
      <c r="B201" s="254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35">
      <c r="A202" s="1"/>
      <c r="B202" s="254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35">
      <c r="A203" s="1"/>
      <c r="B203" s="254"/>
      <c r="C203" s="68" t="s">
        <v>16</v>
      </c>
      <c r="D203" s="79" t="s">
        <v>2</v>
      </c>
      <c r="E203" s="68" t="s">
        <v>146</v>
      </c>
      <c r="F203" s="68" t="s">
        <v>147</v>
      </c>
      <c r="G203" s="68" t="s">
        <v>148</v>
      </c>
      <c r="H203" s="68" t="s">
        <v>149</v>
      </c>
      <c r="I203" s="1"/>
      <c r="J203" s="120"/>
    </row>
    <row r="204" spans="1:10" ht="15" customHeight="1" x14ac:dyDescent="0.35">
      <c r="A204" s="1"/>
      <c r="B204" s="254"/>
      <c r="C204" s="90" t="s">
        <v>4</v>
      </c>
      <c r="D204" s="124">
        <v>46282</v>
      </c>
      <c r="E204" s="124">
        <f>84.1311</f>
        <v>84.131100000000004</v>
      </c>
      <c r="F204" s="124">
        <f>43939.46827</f>
        <v>43939.468269999998</v>
      </c>
      <c r="G204" s="124">
        <f>D204-F204</f>
        <v>2342.5317300000024</v>
      </c>
      <c r="H204" s="124">
        <f>42374.1578</f>
        <v>42374.157800000001</v>
      </c>
      <c r="I204" s="248"/>
      <c r="J204" s="120"/>
    </row>
    <row r="205" spans="1:10" ht="15" customHeight="1" x14ac:dyDescent="0.35">
      <c r="A205" s="1"/>
      <c r="B205" s="254"/>
      <c r="C205" s="90" t="s">
        <v>67</v>
      </c>
      <c r="D205" s="124">
        <v>100</v>
      </c>
      <c r="E205" s="124">
        <f>0.2249</f>
        <v>0.22489999999999999</v>
      </c>
      <c r="F205" s="124">
        <f>44.70254</f>
        <v>44.702539999999999</v>
      </c>
      <c r="G205" s="124">
        <f>D205-F205</f>
        <v>55.297460000000001</v>
      </c>
      <c r="H205" s="124">
        <f>71.73028</f>
        <v>71.730279999999993</v>
      </c>
      <c r="I205" s="248"/>
      <c r="J205" s="120"/>
    </row>
    <row r="206" spans="1:10" ht="15.75" customHeight="1" x14ac:dyDescent="0.35">
      <c r="A206" s="1"/>
      <c r="B206" s="254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8"/>
      <c r="J206" s="120"/>
    </row>
    <row r="207" spans="1:10" ht="16.5" customHeight="1" x14ac:dyDescent="0.35">
      <c r="A207" s="1"/>
      <c r="B207" s="254"/>
      <c r="C207" s="179" t="s">
        <v>87</v>
      </c>
      <c r="D207" s="190">
        <f>SUM(D204:D206)</f>
        <v>46418</v>
      </c>
      <c r="E207" s="190">
        <f>SUM(E204:E206)</f>
        <v>84.356000000000009</v>
      </c>
      <c r="F207" s="190">
        <f>SUM(F204:F206)</f>
        <v>43984.170809999996</v>
      </c>
      <c r="G207" s="190">
        <f>D207-F207</f>
        <v>2433.829190000004</v>
      </c>
      <c r="H207" s="190">
        <f>SUM(H204:H206)</f>
        <v>42445.888080000004</v>
      </c>
      <c r="I207" s="248"/>
      <c r="J207" s="120"/>
    </row>
    <row r="208" spans="1:10" ht="17.149999999999999" customHeight="1" x14ac:dyDescent="0.3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6"/>
    </row>
    <row r="209" spans="1:10" ht="0" hidden="1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49999999999999" customHeight="1" x14ac:dyDescent="0.35">
      <c r="A242" s="1" t="s">
        <v>113</v>
      </c>
      <c r="B242" s="1"/>
      <c r="C242" s="1"/>
      <c r="D242" s="1"/>
      <c r="E242" s="1"/>
      <c r="F242" s="1"/>
      <c r="G242" s="1"/>
      <c r="H242" s="1"/>
      <c r="I242" s="1"/>
      <c r="J242" s="218"/>
    </row>
    <row r="243" spans="1:10" ht="21.75" customHeight="1" x14ac:dyDescent="0.5">
      <c r="A243" s="150"/>
      <c r="B243" s="1"/>
      <c r="C243" s="215" t="s">
        <v>115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5">
      <c r="A244" s="150" t="s">
        <v>113</v>
      </c>
      <c r="B244" s="1"/>
      <c r="C244" s="215"/>
      <c r="D244" s="170"/>
      <c r="E244" s="170"/>
      <c r="F244" s="170"/>
      <c r="G244" s="170"/>
      <c r="H244" s="1"/>
      <c r="I244" s="1"/>
      <c r="J244" s="1"/>
    </row>
    <row r="245" spans="1:10" ht="12" customHeight="1" x14ac:dyDescent="0.35">
      <c r="A245" s="150"/>
      <c r="B245" s="138"/>
      <c r="C245" s="226"/>
      <c r="D245" s="237"/>
      <c r="E245" s="237"/>
      <c r="F245" s="237"/>
      <c r="G245" s="237"/>
      <c r="H245" s="154"/>
      <c r="I245" s="154"/>
      <c r="J245" s="162"/>
    </row>
    <row r="246" spans="1:10" ht="23.25" customHeight="1" x14ac:dyDescent="0.35">
      <c r="A246" s="1"/>
      <c r="B246" s="254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35">
      <c r="A247" s="1"/>
      <c r="B247" s="254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35">
      <c r="A248" s="1"/>
      <c r="B248" s="254"/>
      <c r="C248" s="68" t="s">
        <v>16</v>
      </c>
      <c r="D248" s="79" t="s">
        <v>2</v>
      </c>
      <c r="E248" s="68" t="s">
        <v>146</v>
      </c>
      <c r="F248" s="68" t="s">
        <v>147</v>
      </c>
      <c r="G248" s="68" t="s">
        <v>148</v>
      </c>
      <c r="H248" s="68" t="s">
        <v>149</v>
      </c>
      <c r="I248" s="1"/>
      <c r="J248" s="120"/>
    </row>
    <row r="249" spans="1:10" ht="15" customHeight="1" x14ac:dyDescent="0.35">
      <c r="A249" s="1"/>
      <c r="B249" s="254"/>
      <c r="C249" s="90" t="s">
        <v>121</v>
      </c>
      <c r="D249" s="124">
        <v>3987</v>
      </c>
      <c r="E249" s="75">
        <f>E250+E251</f>
        <v>16.788240000000002</v>
      </c>
      <c r="F249" s="75">
        <f>F250+F251</f>
        <v>4360.4979700000004</v>
      </c>
      <c r="G249" s="75">
        <f>D249-F249</f>
        <v>-373.49797000000035</v>
      </c>
      <c r="H249" s="75">
        <f>H250+H251</f>
        <v>4378.7362000000003</v>
      </c>
      <c r="I249" s="248"/>
      <c r="J249" s="120"/>
    </row>
    <row r="250" spans="1:10" ht="15" customHeight="1" x14ac:dyDescent="0.35">
      <c r="A250" s="1"/>
      <c r="B250" s="254"/>
      <c r="C250" s="177" t="s">
        <v>8</v>
      </c>
      <c r="D250" s="124"/>
      <c r="E250" s="75">
        <f>6.61838</f>
        <v>6.6183800000000002</v>
      </c>
      <c r="F250" s="75">
        <f>3683.23687</f>
        <v>3683.2368700000002</v>
      </c>
      <c r="G250" s="75"/>
      <c r="H250" s="75">
        <f>3649.66649</f>
        <v>3649.6664900000001</v>
      </c>
      <c r="I250" s="248"/>
      <c r="J250" s="120"/>
    </row>
    <row r="251" spans="1:10" ht="15" customHeight="1" x14ac:dyDescent="0.35">
      <c r="A251" s="1"/>
      <c r="B251" s="254"/>
      <c r="C251" s="177" t="s">
        <v>67</v>
      </c>
      <c r="D251" s="124"/>
      <c r="E251" s="124">
        <f>10.16986</f>
        <v>10.16986</v>
      </c>
      <c r="F251" s="124">
        <f>677.2611</f>
        <v>677.26110000000006</v>
      </c>
      <c r="G251" s="168"/>
      <c r="H251" s="124">
        <f>729.06971</f>
        <v>729.06970999999999</v>
      </c>
      <c r="I251" s="248"/>
      <c r="J251" s="120"/>
    </row>
    <row r="252" spans="1:10" ht="15" customHeight="1" x14ac:dyDescent="0.35">
      <c r="A252" s="1"/>
      <c r="B252" s="254"/>
      <c r="C252" s="90" t="s">
        <v>122</v>
      </c>
      <c r="D252" s="124">
        <v>4613</v>
      </c>
      <c r="E252" s="75">
        <f>42.82824</f>
        <v>42.828240000000001</v>
      </c>
      <c r="F252" s="75">
        <f>5595.69828</f>
        <v>5595.6982799999996</v>
      </c>
      <c r="G252" s="75">
        <f>D252-F252</f>
        <v>-982.69827999999961</v>
      </c>
      <c r="H252" s="75">
        <f>5750.92468</f>
        <v>5750.9246800000001</v>
      </c>
      <c r="I252" s="248"/>
      <c r="J252" s="120"/>
    </row>
    <row r="253" spans="1:10" ht="16.5" customHeight="1" x14ac:dyDescent="0.35">
      <c r="A253" s="1"/>
      <c r="B253" s="254"/>
      <c r="C253" s="179" t="s">
        <v>87</v>
      </c>
      <c r="D253" s="190">
        <f>D252+D249</f>
        <v>8600</v>
      </c>
      <c r="E253" s="190">
        <f>SUM(E249,E252)</f>
        <v>59.616480000000003</v>
      </c>
      <c r="F253" s="190">
        <f>SUM(F249,F252)</f>
        <v>9956.1962500000009</v>
      </c>
      <c r="G253" s="190">
        <f>D253-F253</f>
        <v>-1356.1962500000009</v>
      </c>
      <c r="H253" s="190">
        <f>SUM(H249,H252)</f>
        <v>10129.660879999999</v>
      </c>
      <c r="I253" s="248"/>
      <c r="J253" s="120"/>
    </row>
    <row r="254" spans="1:10" ht="17.149999999999999" customHeight="1" x14ac:dyDescent="0.35">
      <c r="A254" s="1"/>
      <c r="B254" s="164"/>
      <c r="C254" s="201"/>
      <c r="D254" s="107"/>
      <c r="E254" s="107"/>
      <c r="F254" s="210"/>
      <c r="G254" s="210"/>
      <c r="H254" s="210"/>
      <c r="I254" s="210"/>
      <c r="J254" s="216"/>
    </row>
    <row r="255" spans="1:10" ht="0" hidden="1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49999999999999" customHeight="1" x14ac:dyDescent="0.35">
      <c r="A288" s="1" t="s">
        <v>113</v>
      </c>
      <c r="B288" s="1"/>
      <c r="C288" s="1"/>
      <c r="D288" s="1"/>
      <c r="E288" s="1"/>
      <c r="F288" s="1"/>
      <c r="G288" s="1"/>
      <c r="H288" s="1"/>
      <c r="I288" s="1"/>
      <c r="J288" s="218"/>
    </row>
    <row r="289" spans="1:10" ht="21.75" customHeight="1" x14ac:dyDescent="0.5">
      <c r="A289" s="150"/>
      <c r="B289" s="1"/>
      <c r="C289" s="215" t="s">
        <v>116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5">
      <c r="A290" s="150" t="s">
        <v>113</v>
      </c>
      <c r="B290" s="1"/>
      <c r="C290" s="215"/>
      <c r="D290" s="170"/>
      <c r="E290" s="170"/>
      <c r="F290" s="170"/>
      <c r="G290" s="170"/>
      <c r="H290" s="1"/>
      <c r="I290" s="1"/>
      <c r="J290" s="1"/>
    </row>
    <row r="291" spans="1:10" ht="12" customHeight="1" x14ac:dyDescent="0.35">
      <c r="A291" s="150"/>
      <c r="B291" s="138"/>
      <c r="C291" s="226"/>
      <c r="D291" s="237"/>
      <c r="E291" s="237"/>
      <c r="F291" s="237"/>
      <c r="G291" s="237"/>
      <c r="H291" s="154"/>
      <c r="I291" s="154"/>
      <c r="J291" s="162"/>
    </row>
    <row r="292" spans="1:10" ht="23.25" customHeight="1" x14ac:dyDescent="0.35">
      <c r="A292" s="1"/>
      <c r="B292" s="254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35">
      <c r="A293" s="1"/>
      <c r="B293" s="254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35">
      <c r="A294" s="1"/>
      <c r="B294" s="254"/>
      <c r="C294" s="68" t="s">
        <v>16</v>
      </c>
      <c r="D294" s="79" t="s">
        <v>2</v>
      </c>
      <c r="E294" s="68" t="s">
        <v>146</v>
      </c>
      <c r="F294" s="68" t="s">
        <v>147</v>
      </c>
      <c r="G294" s="68" t="s">
        <v>148</v>
      </c>
      <c r="H294" s="68" t="s">
        <v>149</v>
      </c>
      <c r="I294" s="1"/>
      <c r="J294" s="120"/>
    </row>
    <row r="295" spans="1:10" ht="15" customHeight="1" x14ac:dyDescent="0.35">
      <c r="A295" s="1"/>
      <c r="B295" s="254"/>
      <c r="C295" s="90" t="s">
        <v>121</v>
      </c>
      <c r="D295" s="124">
        <v>5090</v>
      </c>
      <c r="E295" s="75">
        <f>E296+E297</f>
        <v>9.4419699999999995</v>
      </c>
      <c r="F295" s="75">
        <f>F296+F297</f>
        <v>5451.7375899999997</v>
      </c>
      <c r="G295" s="75">
        <f>D295-F295</f>
        <v>-361.73758999999973</v>
      </c>
      <c r="H295" s="75">
        <f>H296+H297</f>
        <v>6121.9152100000001</v>
      </c>
      <c r="I295" s="248"/>
      <c r="J295" s="120"/>
    </row>
    <row r="296" spans="1:10" ht="15" customHeight="1" x14ac:dyDescent="0.35">
      <c r="A296" s="1"/>
      <c r="B296" s="254"/>
      <c r="C296" s="177" t="s">
        <v>8</v>
      </c>
      <c r="D296" s="124"/>
      <c r="E296" s="75">
        <f>1.59909</f>
        <v>1.5990899999999999</v>
      </c>
      <c r="F296" s="75">
        <f>4877.85747</f>
        <v>4877.8574699999999</v>
      </c>
      <c r="G296" s="75"/>
      <c r="H296" s="75">
        <f>5588.37805</f>
        <v>5588.3780500000003</v>
      </c>
      <c r="I296" s="248"/>
      <c r="J296" s="120"/>
    </row>
    <row r="297" spans="1:10" ht="15" customHeight="1" x14ac:dyDescent="0.35">
      <c r="A297" s="1"/>
      <c r="B297" s="254"/>
      <c r="C297" s="177" t="s">
        <v>67</v>
      </c>
      <c r="D297" s="124"/>
      <c r="E297" s="124">
        <f>7.84288</f>
        <v>7.8428800000000001</v>
      </c>
      <c r="F297" s="124">
        <f>573.88012</f>
        <v>573.88012000000003</v>
      </c>
      <c r="G297" s="168"/>
      <c r="H297" s="124">
        <f>533.53716</f>
        <v>533.53715999999997</v>
      </c>
      <c r="I297" s="248"/>
      <c r="J297" s="120"/>
    </row>
    <row r="298" spans="1:10" ht="15" customHeight="1" x14ac:dyDescent="0.35">
      <c r="A298" s="1"/>
      <c r="B298" s="254"/>
      <c r="C298" s="90" t="s">
        <v>122</v>
      </c>
      <c r="D298" s="124">
        <v>2981</v>
      </c>
      <c r="E298" s="75">
        <f>130.8129</f>
        <v>130.81290000000001</v>
      </c>
      <c r="F298" s="75">
        <f>3490.62017</f>
        <v>3490.6201700000001</v>
      </c>
      <c r="G298" s="75">
        <f>D298-F298</f>
        <v>-509.62017000000014</v>
      </c>
      <c r="H298" s="75">
        <f>4382.7</f>
        <v>4382.7</v>
      </c>
      <c r="I298" s="248"/>
      <c r="J298" s="120"/>
    </row>
    <row r="299" spans="1:10" ht="16.5" customHeight="1" x14ac:dyDescent="0.35">
      <c r="A299" s="1"/>
      <c r="B299" s="254"/>
      <c r="C299" s="179" t="s">
        <v>87</v>
      </c>
      <c r="D299" s="190">
        <f>D298+D295</f>
        <v>8071</v>
      </c>
      <c r="E299" s="190">
        <f>SUM(E295,E298)</f>
        <v>140.25487000000001</v>
      </c>
      <c r="F299" s="190">
        <f>SUM(F295,F298)</f>
        <v>8942.357759999999</v>
      </c>
      <c r="G299" s="190">
        <f>D299-F299</f>
        <v>-871.35775999999896</v>
      </c>
      <c r="H299" s="190">
        <f>SUM(H295,H298)</f>
        <v>10504.61521</v>
      </c>
      <c r="I299" s="248"/>
      <c r="J299" s="120"/>
    </row>
    <row r="300" spans="1:10" ht="17.149999999999999" customHeight="1" x14ac:dyDescent="0.35">
      <c r="A300" s="1"/>
      <c r="B300" s="164"/>
      <c r="C300" s="201"/>
      <c r="D300" s="107"/>
      <c r="E300" s="107"/>
      <c r="F300" s="210"/>
      <c r="G300" s="210"/>
      <c r="H300" s="210"/>
      <c r="I300" s="210"/>
      <c r="J300" s="216"/>
    </row>
    <row r="301" spans="1:10" ht="0" hidden="1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35">
      <c r="A334" s="1" t="s">
        <v>113</v>
      </c>
      <c r="B334" s="1"/>
      <c r="C334" s="1"/>
      <c r="D334" s="1"/>
      <c r="E334" s="1"/>
      <c r="F334" s="1"/>
      <c r="G334" s="1"/>
      <c r="H334" s="1"/>
      <c r="I334" s="1"/>
      <c r="J334" s="218"/>
    </row>
    <row r="335" spans="1:10" ht="30" customHeight="1" x14ac:dyDescent="0.35">
      <c r="A335" s="218"/>
      <c r="B335" s="218"/>
      <c r="C335" s="219" t="s">
        <v>89</v>
      </c>
      <c r="D335" s="218"/>
      <c r="E335" s="218"/>
      <c r="F335" s="218"/>
      <c r="G335" s="218"/>
      <c r="H335" s="218"/>
      <c r="I335" s="218"/>
      <c r="J335" s="224"/>
    </row>
    <row r="336" spans="1:10" ht="30" customHeight="1" x14ac:dyDescent="0.35">
      <c r="A336" s="218" t="s">
        <v>113</v>
      </c>
      <c r="B336" s="218"/>
      <c r="C336" s="219"/>
      <c r="D336" s="218"/>
      <c r="E336" s="218"/>
      <c r="F336" s="218"/>
      <c r="G336" s="218"/>
      <c r="H336" s="218"/>
      <c r="I336" s="218"/>
      <c r="J336" s="224"/>
    </row>
    <row r="337" spans="1:10" ht="14.15" customHeight="1" x14ac:dyDescent="0.3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5" customHeight="1" x14ac:dyDescent="0.3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5" customHeight="1" x14ac:dyDescent="0.35">
      <c r="A339" s="1"/>
      <c r="B339" s="254"/>
      <c r="C339" s="259" t="s">
        <v>84</v>
      </c>
      <c r="D339" s="270">
        <v>3851</v>
      </c>
      <c r="E339" s="150"/>
      <c r="F339" s="225"/>
      <c r="G339" s="1"/>
      <c r="H339" s="1"/>
      <c r="I339" s="1"/>
      <c r="J339" s="120"/>
    </row>
    <row r="340" spans="1:10" ht="14.15" customHeight="1" x14ac:dyDescent="0.35">
      <c r="A340" s="1"/>
      <c r="B340" s="254"/>
      <c r="C340" s="248" t="s">
        <v>90</v>
      </c>
      <c r="D340" s="46">
        <v>11613</v>
      </c>
      <c r="E340" s="150"/>
      <c r="F340" s="225"/>
      <c r="G340" s="1"/>
      <c r="H340" s="1"/>
      <c r="I340" s="1"/>
      <c r="J340" s="120"/>
    </row>
    <row r="341" spans="1:10" ht="14.15" customHeight="1" x14ac:dyDescent="0.35">
      <c r="A341" s="1"/>
      <c r="B341" s="254"/>
      <c r="C341" s="248" t="s">
        <v>91</v>
      </c>
      <c r="D341" s="46">
        <v>9054</v>
      </c>
      <c r="E341" s="150"/>
      <c r="F341" s="225"/>
      <c r="G341" s="1"/>
      <c r="H341" s="1"/>
      <c r="I341" s="1"/>
      <c r="J341" s="120"/>
    </row>
    <row r="342" spans="1:10" ht="13.5" customHeight="1" x14ac:dyDescent="0.35">
      <c r="A342" s="1"/>
      <c r="B342" s="254"/>
      <c r="C342" s="248" t="s">
        <v>124</v>
      </c>
      <c r="D342" s="46">
        <v>382</v>
      </c>
      <c r="E342" s="150"/>
      <c r="F342" s="225"/>
      <c r="G342" s="1"/>
      <c r="H342" s="1"/>
      <c r="I342" s="1"/>
      <c r="J342" s="120"/>
    </row>
    <row r="343" spans="1:10" ht="14.25" customHeight="1" x14ac:dyDescent="0.35">
      <c r="A343" s="1"/>
      <c r="B343" s="254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5" customHeight="1" x14ac:dyDescent="0.35">
      <c r="A344" s="1"/>
      <c r="B344" s="254"/>
      <c r="C344" s="228" t="s">
        <v>92</v>
      </c>
      <c r="D344" s="229"/>
      <c r="E344" s="178"/>
      <c r="F344" s="178"/>
      <c r="G344" s="1"/>
      <c r="H344" s="1"/>
      <c r="I344" s="1"/>
      <c r="J344" s="120"/>
    </row>
    <row r="345" spans="1:10" ht="15" customHeight="1" x14ac:dyDescent="0.35">
      <c r="A345" s="1"/>
      <c r="B345" s="254"/>
      <c r="C345" s="101" t="s">
        <v>102</v>
      </c>
      <c r="D345" s="230"/>
      <c r="E345" s="1"/>
      <c r="F345" s="1"/>
      <c r="G345" s="1"/>
      <c r="H345" s="1"/>
      <c r="I345" s="1"/>
      <c r="J345" s="120"/>
    </row>
    <row r="346" spans="1:10" ht="14.25" customHeight="1" x14ac:dyDescent="0.35">
      <c r="A346" s="1"/>
      <c r="B346" s="254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35">
      <c r="A347" s="1"/>
      <c r="B347" s="231"/>
      <c r="C347" s="234" t="s">
        <v>15</v>
      </c>
      <c r="D347" s="234"/>
      <c r="E347" s="234"/>
      <c r="F347" s="234"/>
      <c r="G347" s="234"/>
      <c r="H347" s="234"/>
      <c r="I347" s="234"/>
      <c r="J347" s="238"/>
    </row>
    <row r="348" spans="1:10" ht="14.15" customHeight="1" x14ac:dyDescent="0.35">
      <c r="A348" s="1"/>
      <c r="B348" s="240"/>
      <c r="C348" s="242"/>
      <c r="D348" s="242"/>
      <c r="E348" s="242"/>
      <c r="F348" s="242"/>
      <c r="G348" s="242"/>
      <c r="H348" s="242"/>
      <c r="I348" s="242"/>
      <c r="J348" s="120"/>
    </row>
    <row r="349" spans="1:10" ht="54" customHeight="1" x14ac:dyDescent="0.35">
      <c r="A349" s="1"/>
      <c r="B349" s="254"/>
      <c r="C349" s="68" t="s">
        <v>16</v>
      </c>
      <c r="D349" s="243" t="s">
        <v>2</v>
      </c>
      <c r="E349" s="68" t="s">
        <v>146</v>
      </c>
      <c r="F349" s="68" t="s">
        <v>147</v>
      </c>
      <c r="G349" s="68" t="s">
        <v>148</v>
      </c>
      <c r="H349" s="68" t="s">
        <v>149</v>
      </c>
      <c r="I349" s="1"/>
      <c r="J349" s="116"/>
    </row>
    <row r="350" spans="1:10" ht="14.15" customHeight="1" x14ac:dyDescent="0.35">
      <c r="A350" s="67"/>
      <c r="B350" s="78"/>
      <c r="C350" s="90" t="s">
        <v>93</v>
      </c>
      <c r="D350" s="124">
        <v>800</v>
      </c>
      <c r="E350" s="124">
        <f>0.6592</f>
        <v>0.65920000000000001</v>
      </c>
      <c r="F350" s="124">
        <f>687.2219</f>
        <v>687.22190000000001</v>
      </c>
      <c r="G350" s="124">
        <f>D350-F350</f>
        <v>112.77809999999999</v>
      </c>
      <c r="H350" s="124">
        <f>614.41842</f>
        <v>614.41841999999997</v>
      </c>
      <c r="I350" s="67"/>
      <c r="J350" s="244"/>
    </row>
    <row r="351" spans="1:10" ht="14.15" customHeight="1" x14ac:dyDescent="0.35">
      <c r="A351" s="1"/>
      <c r="B351" s="254"/>
      <c r="C351" s="90" t="s">
        <v>94</v>
      </c>
      <c r="D351" s="246">
        <v>3041</v>
      </c>
      <c r="E351" s="124">
        <f>12.92356</f>
        <v>12.92356</v>
      </c>
      <c r="F351" s="124">
        <f>2620.59474</f>
        <v>2620.59474</v>
      </c>
      <c r="G351" s="124">
        <f>D351-F351</f>
        <v>420.40526</v>
      </c>
      <c r="H351" s="124">
        <f>2801.16111</f>
        <v>2801.16111</v>
      </c>
      <c r="I351" s="178"/>
      <c r="J351" s="116"/>
    </row>
    <row r="352" spans="1:10" ht="16.5" customHeight="1" x14ac:dyDescent="0.35">
      <c r="A352" s="67"/>
      <c r="B352" s="78"/>
      <c r="C352" s="146" t="s">
        <v>81</v>
      </c>
      <c r="D352" s="246">
        <v>10</v>
      </c>
      <c r="E352" s="168">
        <f>0</f>
        <v>0</v>
      </c>
      <c r="F352" s="168">
        <f>3.78662</f>
        <v>3.7866200000000001</v>
      </c>
      <c r="G352" s="124">
        <f>D352-F352</f>
        <v>6.2133799999999999</v>
      </c>
      <c r="H352" s="168">
        <f>2.73874</f>
        <v>2.73874</v>
      </c>
      <c r="I352" s="67"/>
      <c r="J352" s="249"/>
    </row>
    <row r="353" spans="1:10" ht="18.75" customHeight="1" x14ac:dyDescent="0.35">
      <c r="A353" s="67"/>
      <c r="B353" s="250"/>
      <c r="C353" s="146" t="s">
        <v>95</v>
      </c>
      <c r="D353" s="222"/>
      <c r="E353" s="168">
        <f>0</f>
        <v>0</v>
      </c>
      <c r="F353" s="168">
        <f>2.54029</f>
        <v>2.5402900000000002</v>
      </c>
      <c r="G353" s="124">
        <f>D353-F353</f>
        <v>-2.5402900000000002</v>
      </c>
      <c r="H353" s="168">
        <f>1.81523</f>
        <v>1.8152299999999999</v>
      </c>
      <c r="I353" s="284"/>
      <c r="J353" s="120"/>
    </row>
    <row r="354" spans="1:10" ht="14.15" customHeight="1" x14ac:dyDescent="0.35">
      <c r="A354" s="1"/>
      <c r="B354" s="254"/>
      <c r="C354" s="179" t="s">
        <v>87</v>
      </c>
      <c r="D354" s="6">
        <f>D339</f>
        <v>3851</v>
      </c>
      <c r="E354" s="190">
        <f>SUM(E350:E353)</f>
        <v>13.58276</v>
      </c>
      <c r="F354" s="190">
        <f>SUM(F350:F353)</f>
        <v>3314.1435499999998</v>
      </c>
      <c r="G354" s="190">
        <f>D354-F354</f>
        <v>536.85645000000022</v>
      </c>
      <c r="H354" s="190">
        <f>H350+H351+H352+H353</f>
        <v>3420.1334999999999</v>
      </c>
      <c r="I354" s="1"/>
      <c r="J354" s="120"/>
    </row>
    <row r="355" spans="1:10" ht="14.15" customHeight="1" x14ac:dyDescent="0.35">
      <c r="A355" s="1"/>
      <c r="B355" s="254"/>
      <c r="C355" s="21"/>
      <c r="D355" s="34"/>
      <c r="E355" s="34"/>
      <c r="F355" s="34"/>
      <c r="G355" s="34"/>
      <c r="H355" s="34"/>
      <c r="I355" s="1"/>
      <c r="J355" s="120"/>
    </row>
    <row r="356" spans="1:10" ht="14.15" customHeight="1" x14ac:dyDescent="0.3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5" customHeight="1" x14ac:dyDescent="0.35">
      <c r="A357" s="1"/>
      <c r="C357" s="150" t="s">
        <v>113</v>
      </c>
    </row>
    <row r="358" spans="1:10" ht="14.15" customHeight="1" x14ac:dyDescent="0.35">
      <c r="A358" s="1" t="s">
        <v>113</v>
      </c>
    </row>
    <row r="359" spans="1:10" ht="14.15" customHeight="1" x14ac:dyDescent="0.35">
      <c r="A359" s="1" t="s">
        <v>113</v>
      </c>
    </row>
    <row r="360" spans="1:10" ht="14.15" customHeight="1" x14ac:dyDescent="0.35">
      <c r="A360" s="1"/>
      <c r="C360" s="150" t="s">
        <v>113</v>
      </c>
    </row>
    <row r="361" spans="1:10" x14ac:dyDescent="0.35">
      <c r="A361" s="1"/>
      <c r="C361" s="150" t="s">
        <v>113</v>
      </c>
    </row>
    <row r="362" spans="1:10" ht="14.15" customHeight="1" x14ac:dyDescent="0.35">
      <c r="A362" s="1"/>
      <c r="C362" s="150" t="s">
        <v>113</v>
      </c>
    </row>
    <row r="363" spans="1:10" ht="14.15" customHeight="1" x14ac:dyDescent="0.35">
      <c r="A363" s="1"/>
      <c r="C363" s="150" t="s">
        <v>113</v>
      </c>
    </row>
    <row r="364" spans="1:10" ht="30" customHeight="1" x14ac:dyDescent="0.5">
      <c r="A364" s="218"/>
      <c r="B364" s="1"/>
      <c r="C364" s="215" t="s">
        <v>96</v>
      </c>
      <c r="D364" s="156"/>
      <c r="E364" s="1"/>
      <c r="F364" s="1"/>
      <c r="G364" s="1"/>
      <c r="H364" s="1"/>
      <c r="I364" s="1"/>
      <c r="J364" s="1"/>
    </row>
    <row r="365" spans="1:10" ht="17.149999999999999" customHeight="1" x14ac:dyDescent="0.35">
      <c r="B365" s="123"/>
      <c r="C365" s="239"/>
      <c r="D365" s="239"/>
      <c r="E365" s="239"/>
      <c r="F365" s="239"/>
      <c r="G365" s="239"/>
      <c r="H365" s="239"/>
      <c r="I365" s="239"/>
      <c r="J365" s="60"/>
    </row>
    <row r="366" spans="1:10" ht="6" customHeight="1" x14ac:dyDescent="0.3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3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35">
      <c r="B368" s="72"/>
      <c r="C368" s="259" t="s">
        <v>84</v>
      </c>
      <c r="D368" s="270">
        <v>35008</v>
      </c>
      <c r="E368" s="252" t="s">
        <v>4</v>
      </c>
      <c r="F368" s="103">
        <v>21508</v>
      </c>
      <c r="G368" s="248" t="s">
        <v>20</v>
      </c>
      <c r="H368" s="46">
        <v>12051</v>
      </c>
      <c r="I368" s="150"/>
      <c r="J368" s="130"/>
    </row>
    <row r="369" spans="1:10" ht="14.25" customHeight="1" x14ac:dyDescent="0.35">
      <c r="B369" s="72"/>
      <c r="C369" s="248" t="s">
        <v>91</v>
      </c>
      <c r="D369" s="46">
        <v>23995</v>
      </c>
      <c r="E369" s="178" t="s">
        <v>94</v>
      </c>
      <c r="F369" s="47">
        <v>8000</v>
      </c>
      <c r="G369" s="248" t="s">
        <v>21</v>
      </c>
      <c r="H369" s="46">
        <v>3136</v>
      </c>
      <c r="I369" s="150"/>
      <c r="J369" s="130"/>
    </row>
    <row r="370" spans="1:10" ht="14.25" customHeight="1" x14ac:dyDescent="0.35">
      <c r="B370" s="72"/>
      <c r="C370" s="248" t="s">
        <v>90</v>
      </c>
      <c r="D370" s="46">
        <v>8105</v>
      </c>
      <c r="E370" s="178" t="s">
        <v>59</v>
      </c>
      <c r="F370" s="47">
        <v>5500</v>
      </c>
      <c r="G370" s="248" t="s">
        <v>99</v>
      </c>
      <c r="H370" s="46">
        <v>4867</v>
      </c>
      <c r="I370" s="150"/>
      <c r="J370" s="130"/>
    </row>
    <row r="371" spans="1:10" ht="14.15" customHeight="1" x14ac:dyDescent="0.35">
      <c r="B371" s="72"/>
      <c r="C371" s="248"/>
      <c r="D371" s="46"/>
      <c r="E371" s="131"/>
      <c r="F371" s="144"/>
      <c r="G371" s="248" t="s">
        <v>100</v>
      </c>
      <c r="H371" s="46">
        <v>1454</v>
      </c>
      <c r="I371" s="150"/>
      <c r="J371" s="130"/>
    </row>
    <row r="372" spans="1:10" ht="14.15" customHeight="1" x14ac:dyDescent="0.3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4" customHeight="1" x14ac:dyDescent="0.35">
      <c r="B373" s="72"/>
      <c r="C373" s="211" t="s">
        <v>133</v>
      </c>
      <c r="D373" s="178"/>
      <c r="E373" s="178"/>
      <c r="F373" s="178"/>
      <c r="G373" s="1"/>
      <c r="H373" s="178"/>
      <c r="I373" s="178"/>
      <c r="J373" s="244"/>
    </row>
    <row r="374" spans="1:10" ht="13.4" customHeight="1" x14ac:dyDescent="0.35">
      <c r="B374" s="72"/>
      <c r="C374" s="212" t="s">
        <v>134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3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3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35">
      <c r="B377" s="231"/>
      <c r="C377" s="234" t="s">
        <v>15</v>
      </c>
      <c r="D377" s="234"/>
      <c r="E377" s="234"/>
      <c r="F377" s="234"/>
      <c r="G377" s="234"/>
      <c r="H377" s="234"/>
      <c r="I377" s="234"/>
      <c r="J377" s="238"/>
    </row>
    <row r="378" spans="1:10" ht="18.75" customHeight="1" x14ac:dyDescent="0.35">
      <c r="B378" s="198"/>
      <c r="C378" s="224"/>
      <c r="D378" s="224"/>
      <c r="E378" s="224"/>
      <c r="F378" s="224"/>
      <c r="G378" s="224"/>
      <c r="H378" s="224"/>
      <c r="I378" s="224"/>
      <c r="J378" s="13"/>
    </row>
    <row r="379" spans="1:10" ht="64.5" customHeight="1" x14ac:dyDescent="0.35">
      <c r="B379" s="72"/>
      <c r="C379" s="223" t="s">
        <v>16</v>
      </c>
      <c r="D379" s="232" t="s">
        <v>17</v>
      </c>
      <c r="E379" s="68" t="s">
        <v>140</v>
      </c>
      <c r="F379" s="223" t="s">
        <v>146</v>
      </c>
      <c r="G379" s="223" t="s">
        <v>147</v>
      </c>
      <c r="H379" s="223" t="s">
        <v>148</v>
      </c>
      <c r="I379" s="223" t="s">
        <v>149</v>
      </c>
      <c r="J379" s="130"/>
    </row>
    <row r="380" spans="1:10" ht="14.15" customHeight="1" x14ac:dyDescent="0.35">
      <c r="A380" s="218"/>
      <c r="B380" s="72"/>
      <c r="C380" s="247" t="s">
        <v>19</v>
      </c>
      <c r="D380" s="251">
        <f t="shared" ref="D380:I380" si="17">D384+D383+D382+D381</f>
        <v>21508</v>
      </c>
      <c r="E380" s="251">
        <v>22969</v>
      </c>
      <c r="F380" s="253">
        <f t="shared" si="17"/>
        <v>3.6073999999999997</v>
      </c>
      <c r="G380" s="253">
        <f t="shared" si="17"/>
        <v>20239.354700000004</v>
      </c>
      <c r="H380" s="253">
        <f>H384+H383+H382+H381</f>
        <v>2729.6452999999992</v>
      </c>
      <c r="I380" s="253">
        <f t="shared" si="17"/>
        <v>17379.489000000001</v>
      </c>
      <c r="J380" s="130"/>
    </row>
    <row r="381" spans="1:10" ht="14.15" customHeight="1" x14ac:dyDescent="0.35">
      <c r="A381" s="218"/>
      <c r="B381" s="72"/>
      <c r="C381" s="255" t="s">
        <v>103</v>
      </c>
      <c r="D381" s="256">
        <v>12051</v>
      </c>
      <c r="E381" s="256">
        <v>13190</v>
      </c>
      <c r="F381" s="257">
        <f>0</f>
        <v>0</v>
      </c>
      <c r="G381" s="257">
        <f>13105.02438</f>
        <v>13105.024380000001</v>
      </c>
      <c r="H381" s="257">
        <f t="shared" ref="H381:H385" si="18">E381-G381</f>
        <v>84.975619999999253</v>
      </c>
      <c r="I381" s="257">
        <f>10173.10933</f>
        <v>10173.109329999999</v>
      </c>
      <c r="J381" s="130"/>
    </row>
    <row r="382" spans="1:10" ht="14.15" customHeight="1" x14ac:dyDescent="0.35">
      <c r="A382" s="218"/>
      <c r="B382" s="72"/>
      <c r="C382" s="260" t="s">
        <v>21</v>
      </c>
      <c r="D382" s="256">
        <v>3136</v>
      </c>
      <c r="E382" s="256">
        <v>3433</v>
      </c>
      <c r="F382" s="257">
        <f>0</f>
        <v>0</v>
      </c>
      <c r="G382" s="257">
        <f>2382.55392</f>
        <v>2382.5539199999998</v>
      </c>
      <c r="H382" s="257">
        <f t="shared" si="18"/>
        <v>1050.4460800000002</v>
      </c>
      <c r="I382" s="257">
        <f>1811.41785</f>
        <v>1811.41785</v>
      </c>
      <c r="J382" s="130"/>
    </row>
    <row r="383" spans="1:10" ht="14.15" customHeight="1" x14ac:dyDescent="0.35">
      <c r="A383" s="218"/>
      <c r="B383" s="72"/>
      <c r="C383" s="260" t="s">
        <v>100</v>
      </c>
      <c r="D383" s="256">
        <v>1454</v>
      </c>
      <c r="E383" s="256">
        <v>1483</v>
      </c>
      <c r="F383" s="257">
        <f>0.711</f>
        <v>0.71099999999999997</v>
      </c>
      <c r="G383" s="257">
        <f>2194.39089</f>
        <v>2194.3908900000001</v>
      </c>
      <c r="H383" s="257">
        <f t="shared" si="18"/>
        <v>-711.39089000000013</v>
      </c>
      <c r="I383" s="257">
        <f>2196.63552</f>
        <v>2196.6355199999998</v>
      </c>
      <c r="J383" s="130"/>
    </row>
    <row r="384" spans="1:10" ht="14.15" customHeight="1" x14ac:dyDescent="0.35">
      <c r="A384" s="218"/>
      <c r="B384" s="72"/>
      <c r="C384" s="262" t="s">
        <v>141</v>
      </c>
      <c r="D384" s="263">
        <v>4867</v>
      </c>
      <c r="E384" s="263">
        <v>4863</v>
      </c>
      <c r="F384" s="257">
        <f>2.8964</f>
        <v>2.8963999999999999</v>
      </c>
      <c r="G384" s="257">
        <f>2557.38551</f>
        <v>2557.3855100000001</v>
      </c>
      <c r="H384" s="257">
        <f t="shared" si="18"/>
        <v>2305.6144899999999</v>
      </c>
      <c r="I384" s="257">
        <f>3198.3263</f>
        <v>3198.3263000000002</v>
      </c>
      <c r="J384" s="130"/>
    </row>
    <row r="385" spans="1:10" ht="14.15" customHeight="1" x14ac:dyDescent="0.35">
      <c r="A385" s="218"/>
      <c r="B385" s="72"/>
      <c r="C385" s="265" t="s">
        <v>59</v>
      </c>
      <c r="D385" s="266">
        <v>5500</v>
      </c>
      <c r="E385" s="266">
        <v>5500</v>
      </c>
      <c r="F385" s="268">
        <f>0</f>
        <v>0</v>
      </c>
      <c r="G385" s="268">
        <f>2272.83678</f>
        <v>2272.8367800000001</v>
      </c>
      <c r="H385" s="268">
        <f t="shared" si="18"/>
        <v>3227.1632199999999</v>
      </c>
      <c r="I385" s="268">
        <f>5114.01628</f>
        <v>5114.0162799999998</v>
      </c>
      <c r="J385" s="130"/>
    </row>
    <row r="386" spans="1:10" ht="14.15" customHeight="1" x14ac:dyDescent="0.35">
      <c r="A386" s="218"/>
      <c r="B386" s="72"/>
      <c r="C386" s="247" t="s">
        <v>22</v>
      </c>
      <c r="D386" s="251">
        <v>8000</v>
      </c>
      <c r="E386" s="251">
        <v>8000</v>
      </c>
      <c r="F386" s="269">
        <f>F388+F387</f>
        <v>13.885450000000001</v>
      </c>
      <c r="G386" s="269">
        <f>G388+G387</f>
        <v>4241.1998299999996</v>
      </c>
      <c r="H386" s="269">
        <f>E386-G386</f>
        <v>3758.8001700000004</v>
      </c>
      <c r="I386" s="269">
        <f>I388+I387</f>
        <v>4801.2056499999999</v>
      </c>
      <c r="J386" s="130"/>
    </row>
    <row r="387" spans="1:10" ht="14.15" customHeight="1" x14ac:dyDescent="0.35">
      <c r="A387" s="218"/>
      <c r="B387" s="72"/>
      <c r="C387" s="260" t="s">
        <v>53</v>
      </c>
      <c r="D387" s="271"/>
      <c r="E387" s="256"/>
      <c r="F387" s="257">
        <f>0</f>
        <v>0</v>
      </c>
      <c r="G387" s="257">
        <f>1065.53427</f>
        <v>1065.5342700000001</v>
      </c>
      <c r="H387" s="257"/>
      <c r="I387" s="257">
        <f>863.37623</f>
        <v>863.37622999999996</v>
      </c>
      <c r="J387" s="130"/>
    </row>
    <row r="388" spans="1:10" ht="14.15" customHeight="1" x14ac:dyDescent="0.35">
      <c r="A388" s="218"/>
      <c r="B388" s="72"/>
      <c r="C388" s="273" t="s">
        <v>104</v>
      </c>
      <c r="D388" s="274"/>
      <c r="E388" s="277"/>
      <c r="F388" s="278">
        <f>13.88545</f>
        <v>13.885450000000001</v>
      </c>
      <c r="G388" s="278">
        <f>3175.66556</f>
        <v>3175.6655599999999</v>
      </c>
      <c r="H388" s="278"/>
      <c r="I388" s="278">
        <f>3937.82942</f>
        <v>3937.82942</v>
      </c>
      <c r="J388" s="130"/>
    </row>
    <row r="389" spans="1:10" ht="14.15" customHeight="1" x14ac:dyDescent="0.35">
      <c r="A389" s="218"/>
      <c r="B389" s="72"/>
      <c r="C389" s="265" t="s">
        <v>34</v>
      </c>
      <c r="D389" s="266">
        <v>13</v>
      </c>
      <c r="E389" s="266">
        <v>13</v>
      </c>
      <c r="F389" s="268">
        <f>0</f>
        <v>0</v>
      </c>
      <c r="G389" s="268">
        <f>0.1565</f>
        <v>0.1565</v>
      </c>
      <c r="H389" s="268">
        <f>E389-G389</f>
        <v>12.843500000000001</v>
      </c>
      <c r="I389" s="268">
        <f>0.7485</f>
        <v>0.74850000000000005</v>
      </c>
      <c r="J389" s="130"/>
    </row>
    <row r="390" spans="1:10" ht="14.15" customHeight="1" x14ac:dyDescent="0.35">
      <c r="A390" s="218"/>
      <c r="B390" s="72"/>
      <c r="C390" s="279" t="s">
        <v>105</v>
      </c>
      <c r="D390" s="282"/>
      <c r="E390" s="283"/>
      <c r="F390" s="268">
        <f>0.0504</f>
        <v>5.04E-2</v>
      </c>
      <c r="G390" s="268">
        <f>133.99801</f>
        <v>133.99800999999999</v>
      </c>
      <c r="H390" s="268">
        <f>E390-G390</f>
        <v>-133.99800999999999</v>
      </c>
      <c r="I390" s="268">
        <f>149.07417</f>
        <v>149.07417000000001</v>
      </c>
      <c r="J390" s="130"/>
    </row>
    <row r="391" spans="1:10" ht="19.5" customHeight="1" x14ac:dyDescent="0.35">
      <c r="A391" s="218"/>
      <c r="B391" s="72"/>
      <c r="C391" s="285" t="s">
        <v>40</v>
      </c>
      <c r="D391" s="286">
        <f>D380+D385+D386+D389+D390</f>
        <v>35021</v>
      </c>
      <c r="E391" s="286">
        <v>36482</v>
      </c>
      <c r="F391" s="287">
        <f t="shared" ref="F391:I391" si="19">F380+F385+F386+F389+F390</f>
        <v>17.54325</v>
      </c>
      <c r="G391" s="287">
        <f t="shared" si="19"/>
        <v>26887.545820000007</v>
      </c>
      <c r="H391" s="287">
        <f>H380+H385+H386+H389+H390</f>
        <v>9594.4541800000006</v>
      </c>
      <c r="I391" s="287">
        <f t="shared" si="19"/>
        <v>27444.533600000002</v>
      </c>
      <c r="J391" s="130"/>
    </row>
    <row r="392" spans="1:10" ht="14.15" customHeight="1" x14ac:dyDescent="0.35">
      <c r="A392" s="218"/>
      <c r="B392" s="72"/>
      <c r="C392" s="161" t="s">
        <v>106</v>
      </c>
      <c r="D392" s="289"/>
      <c r="E392" s="289"/>
      <c r="F392" s="4"/>
      <c r="G392" s="4"/>
      <c r="H392" s="5"/>
      <c r="I392" s="5"/>
      <c r="J392" s="130"/>
    </row>
    <row r="393" spans="1:10" ht="14.15" customHeight="1" x14ac:dyDescent="0.35">
      <c r="A393" s="218"/>
      <c r="B393" s="72"/>
      <c r="C393" s="101" t="s">
        <v>142</v>
      </c>
      <c r="D393" s="289"/>
      <c r="E393" s="289"/>
      <c r="F393" s="4"/>
      <c r="G393" s="4"/>
      <c r="H393" s="7"/>
      <c r="I393" s="5"/>
      <c r="J393" s="130"/>
    </row>
    <row r="394" spans="1:10" ht="14.15" customHeight="1" x14ac:dyDescent="0.35">
      <c r="A394" s="218"/>
      <c r="B394" s="72"/>
      <c r="C394" s="101"/>
      <c r="D394" s="289"/>
      <c r="E394" s="289"/>
      <c r="F394" s="4"/>
      <c r="G394" s="4"/>
      <c r="H394" s="5"/>
      <c r="I394" s="7"/>
      <c r="J394" s="130"/>
    </row>
    <row r="395" spans="1:10" ht="15.75" customHeight="1" x14ac:dyDescent="0.35">
      <c r="A395" s="218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35">
      <c r="A396" s="218"/>
      <c r="B396" s="150" t="s">
        <v>113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35">
      <c r="A397" s="218"/>
      <c r="B397" s="150" t="s">
        <v>113</v>
      </c>
      <c r="C397" s="14"/>
      <c r="D397" s="1"/>
      <c r="E397" s="1"/>
      <c r="F397" s="1"/>
      <c r="G397" s="1"/>
      <c r="H397" s="1"/>
      <c r="I397" s="1"/>
      <c r="J397" s="150"/>
    </row>
    <row r="398" spans="1:10" ht="14.15" customHeight="1" x14ac:dyDescent="0.35">
      <c r="A398" s="218"/>
      <c r="C398" s="150" t="s">
        <v>113</v>
      </c>
      <c r="D398" s="156"/>
    </row>
    <row r="399" spans="1:10" ht="14.15" customHeight="1" x14ac:dyDescent="0.35">
      <c r="A399" s="218"/>
      <c r="B399" s="123"/>
      <c r="C399" s="239"/>
      <c r="D399" s="17"/>
      <c r="E399" s="239"/>
      <c r="F399" s="239"/>
      <c r="G399" s="239"/>
      <c r="H399" s="239"/>
      <c r="I399" s="239"/>
      <c r="J399" s="60"/>
    </row>
    <row r="400" spans="1:10" ht="14.15" customHeight="1" x14ac:dyDescent="0.35">
      <c r="A400" s="218"/>
      <c r="B400" s="72"/>
      <c r="C400" s="219" t="s">
        <v>107</v>
      </c>
      <c r="D400" s="156"/>
      <c r="E400" s="150"/>
      <c r="G400" s="150"/>
      <c r="H400" s="150"/>
      <c r="I400" s="150"/>
      <c r="J400" s="130"/>
    </row>
    <row r="401" spans="1:10" ht="14.15" customHeight="1" x14ac:dyDescent="0.35">
      <c r="A401" s="218"/>
      <c r="B401" s="72"/>
      <c r="C401" s="150"/>
      <c r="D401" s="156"/>
      <c r="E401" s="150"/>
      <c r="G401" s="150"/>
      <c r="H401" s="150"/>
      <c r="I401" s="150"/>
      <c r="J401" s="130"/>
    </row>
    <row r="402" spans="1:10" ht="14.15" customHeight="1" x14ac:dyDescent="0.35">
      <c r="A402" s="218"/>
      <c r="B402" s="72"/>
      <c r="C402" s="149" t="s">
        <v>1</v>
      </c>
      <c r="D402" s="185"/>
      <c r="E402" s="150"/>
      <c r="F402" s="150"/>
      <c r="G402" s="150"/>
      <c r="H402" s="150"/>
      <c r="I402" s="150"/>
      <c r="J402" s="130"/>
    </row>
    <row r="403" spans="1:10" ht="14.15" customHeight="1" x14ac:dyDescent="0.35">
      <c r="A403" s="218"/>
      <c r="B403" s="72"/>
      <c r="C403" s="259" t="s">
        <v>6</v>
      </c>
      <c r="D403" s="270">
        <v>2681</v>
      </c>
      <c r="E403" s="150"/>
      <c r="F403" s="150"/>
      <c r="G403" s="150"/>
      <c r="H403" s="150"/>
      <c r="I403" s="150"/>
      <c r="J403" s="130"/>
    </row>
    <row r="404" spans="1:10" ht="14.15" customHeight="1" x14ac:dyDescent="0.35">
      <c r="A404" s="218"/>
      <c r="B404" s="72"/>
      <c r="C404" s="248" t="s">
        <v>91</v>
      </c>
      <c r="D404" s="46">
        <v>1753</v>
      </c>
      <c r="E404" s="150"/>
      <c r="G404" s="150"/>
      <c r="H404" s="150"/>
      <c r="I404" s="150"/>
      <c r="J404" s="130"/>
    </row>
    <row r="405" spans="1:10" ht="14.15" customHeight="1" x14ac:dyDescent="0.35">
      <c r="A405" s="218"/>
      <c r="B405" s="72"/>
      <c r="C405" s="248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5" customHeight="1" x14ac:dyDescent="0.35">
      <c r="A406" s="218"/>
      <c r="B406" s="72"/>
      <c r="C406" s="57" t="s">
        <v>49</v>
      </c>
      <c r="D406" s="35">
        <v>4557</v>
      </c>
      <c r="E406" s="150"/>
      <c r="F406" s="150"/>
      <c r="G406" s="150"/>
      <c r="H406" s="150"/>
      <c r="I406" s="150"/>
      <c r="J406" s="130"/>
    </row>
    <row r="407" spans="1:10" ht="14.15" customHeight="1" x14ac:dyDescent="0.35">
      <c r="A407" s="218"/>
      <c r="B407" s="72"/>
      <c r="C407" s="301" t="s">
        <v>138</v>
      </c>
      <c r="D407" s="301"/>
      <c r="E407" s="301"/>
      <c r="F407" s="301"/>
      <c r="G407" s="214"/>
      <c r="H407" s="214"/>
      <c r="I407" s="150"/>
      <c r="J407" s="130"/>
    </row>
    <row r="408" spans="1:10" ht="14.15" customHeight="1" x14ac:dyDescent="0.35">
      <c r="A408" s="218"/>
      <c r="B408" s="72"/>
      <c r="C408" s="214"/>
      <c r="D408" s="214"/>
      <c r="E408" s="214"/>
      <c r="F408" s="214"/>
      <c r="G408" s="214"/>
      <c r="H408" s="214"/>
      <c r="I408" s="150"/>
      <c r="J408" s="130"/>
    </row>
    <row r="409" spans="1:10" ht="14.15" customHeight="1" x14ac:dyDescent="0.35">
      <c r="A409" s="218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5" customHeight="1" x14ac:dyDescent="0.35">
      <c r="A410" s="218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35">
      <c r="A411" s="218"/>
      <c r="B411" s="231"/>
      <c r="C411" s="234" t="s">
        <v>15</v>
      </c>
      <c r="D411" s="234"/>
      <c r="E411" s="234"/>
      <c r="F411" s="234"/>
      <c r="G411" s="234"/>
      <c r="H411" s="234"/>
      <c r="I411" s="234"/>
      <c r="J411" s="238"/>
    </row>
    <row r="412" spans="1:10" ht="78" customHeight="1" x14ac:dyDescent="0.35">
      <c r="A412" s="218"/>
      <c r="B412" s="198"/>
      <c r="C412" s="20" t="s">
        <v>108</v>
      </c>
      <c r="D412" s="22" t="s">
        <v>109</v>
      </c>
      <c r="E412" s="20" t="s">
        <v>146</v>
      </c>
      <c r="F412" s="20" t="s">
        <v>147</v>
      </c>
      <c r="G412" s="25" t="s">
        <v>148</v>
      </c>
      <c r="H412" s="20" t="s">
        <v>149</v>
      </c>
      <c r="I412" s="224"/>
      <c r="J412" s="13"/>
    </row>
    <row r="413" spans="1:10" ht="14.15" customHeight="1" x14ac:dyDescent="0.35">
      <c r="A413" s="218"/>
      <c r="B413" s="72"/>
      <c r="C413" s="265" t="s">
        <v>110</v>
      </c>
      <c r="D413" s="204">
        <v>894</v>
      </c>
      <c r="E413" s="26">
        <f>SUM(E414:E415)</f>
        <v>0</v>
      </c>
      <c r="F413" s="26">
        <f>SUM(F414:F415)</f>
        <v>1023.7848799999999</v>
      </c>
      <c r="G413" s="85">
        <f>D413-F413</f>
        <v>-129.78487999999993</v>
      </c>
      <c r="H413" s="26">
        <f>SUM(H414:H415)</f>
        <v>988.40122999999994</v>
      </c>
      <c r="I413" s="27"/>
      <c r="J413" s="130"/>
    </row>
    <row r="414" spans="1:10" ht="14.15" customHeight="1" x14ac:dyDescent="0.35">
      <c r="A414" s="218"/>
      <c r="B414" s="72"/>
      <c r="C414" s="29" t="s">
        <v>8</v>
      </c>
      <c r="E414" s="205">
        <f>0</f>
        <v>0</v>
      </c>
      <c r="F414" s="205">
        <f>779.52608</f>
        <v>779.52607999999998</v>
      </c>
      <c r="G414" s="206"/>
      <c r="H414" s="205">
        <f>753.71223</f>
        <v>753.71222999999998</v>
      </c>
      <c r="I414" s="150"/>
      <c r="J414" s="130"/>
    </row>
    <row r="415" spans="1:10" ht="14.15" customHeight="1" x14ac:dyDescent="0.35">
      <c r="A415" s="218"/>
      <c r="B415" s="72"/>
      <c r="C415" s="29" t="s">
        <v>11</v>
      </c>
      <c r="D415" s="207"/>
      <c r="E415" s="208">
        <f>0</f>
        <v>0</v>
      </c>
      <c r="F415" s="208">
        <f>244.2588</f>
        <v>244.25880000000001</v>
      </c>
      <c r="G415" s="209"/>
      <c r="H415" s="208">
        <f>234.689</f>
        <v>234.68899999999999</v>
      </c>
      <c r="I415" s="150"/>
      <c r="J415" s="130"/>
    </row>
    <row r="416" spans="1:10" ht="14.15" customHeight="1" x14ac:dyDescent="0.35">
      <c r="A416" s="218"/>
      <c r="B416" s="72"/>
      <c r="C416" s="265" t="s">
        <v>111</v>
      </c>
      <c r="D416" s="10">
        <v>894</v>
      </c>
      <c r="E416" s="26">
        <f>SUM(E417:E418)</f>
        <v>46.735900000000001</v>
      </c>
      <c r="F416" s="26">
        <f>SUM(F417:F418)</f>
        <v>292.10059999999999</v>
      </c>
      <c r="G416" s="85">
        <f>D416-F416</f>
        <v>601.89940000000001</v>
      </c>
      <c r="H416" s="26">
        <f>SUM(H417:H418)</f>
        <v>321.99709999999999</v>
      </c>
      <c r="I416" s="27"/>
      <c r="J416" s="130"/>
    </row>
    <row r="417" spans="1:10" ht="14.15" customHeight="1" x14ac:dyDescent="0.35">
      <c r="A417" s="218"/>
      <c r="B417" s="72"/>
      <c r="C417" s="29" t="s">
        <v>8</v>
      </c>
      <c r="D417" s="42"/>
      <c r="E417" s="30">
        <f>41.031</f>
        <v>41.030999999999999</v>
      </c>
      <c r="F417" s="30">
        <f>216.058</f>
        <v>216.05799999999999</v>
      </c>
      <c r="G417" s="97"/>
      <c r="H417" s="30">
        <f>237.385</f>
        <v>237.38499999999999</v>
      </c>
      <c r="I417" s="150"/>
      <c r="J417" s="130"/>
    </row>
    <row r="418" spans="1:10" ht="14.15" customHeight="1" x14ac:dyDescent="0.35">
      <c r="A418" s="218"/>
      <c r="B418" s="72"/>
      <c r="C418" s="29" t="s">
        <v>11</v>
      </c>
      <c r="D418" s="221"/>
      <c r="E418" s="30">
        <f>5.7049</f>
        <v>5.7049000000000003</v>
      </c>
      <c r="F418" s="30">
        <f>76.0426</f>
        <v>76.042599999999993</v>
      </c>
      <c r="G418" s="108"/>
      <c r="H418" s="30">
        <f>84.6121</f>
        <v>84.612099999999998</v>
      </c>
      <c r="I418" s="150"/>
      <c r="J418" s="130"/>
    </row>
    <row r="419" spans="1:10" ht="14.15" customHeight="1" x14ac:dyDescent="0.35">
      <c r="A419" s="218"/>
      <c r="B419" s="72"/>
      <c r="C419" s="265" t="s">
        <v>112</v>
      </c>
      <c r="D419" s="10">
        <v>893</v>
      </c>
      <c r="E419" s="36">
        <f>SUM(E420:E421)</f>
        <v>0</v>
      </c>
      <c r="F419" s="36">
        <f>SUM(F420:F421)</f>
        <v>0</v>
      </c>
      <c r="G419" s="85">
        <f>D419-F419</f>
        <v>893</v>
      </c>
      <c r="H419" s="36">
        <f>SUM(H420:H421)</f>
        <v>0</v>
      </c>
      <c r="I419" s="150"/>
      <c r="J419" s="130"/>
    </row>
    <row r="420" spans="1:10" ht="14.15" customHeight="1" x14ac:dyDescent="0.35">
      <c r="A420" s="218"/>
      <c r="B420" s="72"/>
      <c r="C420" s="29" t="s">
        <v>8</v>
      </c>
      <c r="D420" s="42"/>
      <c r="E420" s="30">
        <f>0</f>
        <v>0</v>
      </c>
      <c r="F420" s="30">
        <f>0</f>
        <v>0</v>
      </c>
      <c r="G420" s="97"/>
      <c r="H420" s="30">
        <f>0</f>
        <v>0</v>
      </c>
      <c r="I420" s="150"/>
      <c r="J420" s="130"/>
    </row>
    <row r="421" spans="1:10" ht="14.15" customHeight="1" x14ac:dyDescent="0.35">
      <c r="A421" s="218"/>
      <c r="B421" s="72"/>
      <c r="C421" s="29" t="s">
        <v>11</v>
      </c>
      <c r="D421" s="221"/>
      <c r="E421" s="30">
        <f>0</f>
        <v>0</v>
      </c>
      <c r="F421" s="30">
        <f>0</f>
        <v>0</v>
      </c>
      <c r="G421" s="108"/>
      <c r="H421" s="30">
        <f>0</f>
        <v>0</v>
      </c>
      <c r="I421" s="150"/>
      <c r="J421" s="130"/>
    </row>
    <row r="422" spans="1:10" ht="14.15" customHeight="1" x14ac:dyDescent="0.35">
      <c r="A422" s="218"/>
      <c r="B422" s="72"/>
      <c r="C422" s="279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5" customHeight="1" x14ac:dyDescent="0.35">
      <c r="A423" s="218"/>
      <c r="B423" s="72"/>
      <c r="C423" s="285" t="s">
        <v>87</v>
      </c>
      <c r="D423" s="39">
        <f>D413+D416+D419</f>
        <v>2681</v>
      </c>
      <c r="E423" s="40">
        <f>E413+E416+E419+E422</f>
        <v>46.735900000000001</v>
      </c>
      <c r="F423" s="40">
        <f>F413+F416+F419+F422</f>
        <v>1315.8854799999999</v>
      </c>
      <c r="G423" s="41">
        <f>D423-F423</f>
        <v>1365.1145200000001</v>
      </c>
      <c r="H423" s="40">
        <f>H413+H416+H419+H422</f>
        <v>1310.39833</v>
      </c>
      <c r="I423" s="27"/>
      <c r="J423" s="130"/>
    </row>
    <row r="424" spans="1:10" ht="42" customHeight="1" x14ac:dyDescent="0.35">
      <c r="A424" s="218"/>
      <c r="B424" s="72"/>
      <c r="C424" s="292" t="s">
        <v>117</v>
      </c>
      <c r="D424" s="292"/>
      <c r="E424" s="292"/>
      <c r="F424" s="292"/>
      <c r="G424" s="292"/>
      <c r="H424" s="292"/>
      <c r="I424" s="292"/>
      <c r="J424" s="293"/>
    </row>
    <row r="425" spans="1:10" ht="14.15" customHeight="1" x14ac:dyDescent="0.35">
      <c r="A425" s="218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35"/>
    <row r="427" spans="1:10" ht="0" hidden="1" customHeight="1" x14ac:dyDescent="0.35"/>
    <row r="428" spans="1:10" ht="0" hidden="1" customHeight="1" x14ac:dyDescent="0.35"/>
    <row r="429" spans="1:10" ht="0" hidden="1" customHeight="1" x14ac:dyDescent="0.35"/>
    <row r="430" spans="1:10" ht="0" hidden="1" customHeight="1" x14ac:dyDescent="0.35"/>
    <row r="431" spans="1:10" ht="0" hidden="1" customHeight="1" x14ac:dyDescent="0.35"/>
    <row r="432" spans="1:10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03" ht="0" hidden="1" customHeight="1" x14ac:dyDescent="0.35"/>
    <row r="65504" ht="0" hidden="1" customHeight="1" x14ac:dyDescent="0.35"/>
    <row r="65505" ht="0" hidden="1" customHeight="1" x14ac:dyDescent="0.35"/>
    <row r="65506" ht="0" hidden="1" customHeight="1" x14ac:dyDescent="0.35"/>
    <row r="65507" ht="0" hidden="1" customHeight="1" x14ac:dyDescent="0.35"/>
    <row r="65508" ht="0" hidden="1" customHeight="1" x14ac:dyDescent="0.35"/>
    <row r="65509" ht="0" hidden="1" customHeight="1" x14ac:dyDescent="0.35"/>
    <row r="65510" ht="0" hidden="1" customHeight="1" x14ac:dyDescent="0.35"/>
    <row r="65511" ht="0" hidden="1" customHeight="1" x14ac:dyDescent="0.35"/>
    <row r="65512" ht="0" hidden="1" customHeight="1" x14ac:dyDescent="0.35"/>
    <row r="65513" ht="0" hidden="1" customHeight="1" x14ac:dyDescent="0.35"/>
    <row r="65514" ht="0" hidden="1" customHeight="1" x14ac:dyDescent="0.35"/>
    <row r="65515" ht="0" hidden="1" customHeight="1" x14ac:dyDescent="0.35"/>
    <row r="65516" ht="0" hidden="1" customHeight="1" x14ac:dyDescent="0.35"/>
    <row r="65517" ht="0" hidden="1" customHeight="1" x14ac:dyDescent="0.35"/>
    <row r="65518" ht="0" hidden="1" customHeight="1" x14ac:dyDescent="0.35"/>
    <row r="65519" ht="0" hidden="1" customHeight="1" x14ac:dyDescent="0.35"/>
    <row r="65520" ht="0" hidden="1" customHeight="1" x14ac:dyDescent="0.35"/>
    <row r="65521" ht="0" hidden="1" customHeight="1" x14ac:dyDescent="0.35"/>
    <row r="65522" ht="0" hidden="1" customHeight="1" x14ac:dyDescent="0.35"/>
    <row r="65523" ht="0" hidden="1" customHeight="1" x14ac:dyDescent="0.35"/>
    <row r="65524" ht="0" hidden="1" customHeight="1" x14ac:dyDescent="0.35"/>
    <row r="65525" ht="0" hidden="1" customHeight="1" x14ac:dyDescent="0.35"/>
    <row r="65526" ht="0" hidden="1" customHeight="1" x14ac:dyDescent="0.35"/>
    <row r="65527" ht="0" hidden="1" customHeight="1" x14ac:dyDescent="0.35"/>
    <row r="65528" ht="0" hidden="1" customHeight="1" x14ac:dyDescent="0.35"/>
    <row r="65529" ht="0" hidden="1" customHeight="1" x14ac:dyDescent="0.35"/>
    <row r="65530" ht="0" hidden="1" customHeight="1" x14ac:dyDescent="0.35"/>
    <row r="65531" ht="0" hidden="1" customHeight="1" x14ac:dyDescent="0.35"/>
    <row r="65532" ht="0" hidden="1" customHeight="1" x14ac:dyDescent="0.35"/>
    <row r="65533" ht="0" hidden="1" customHeight="1" x14ac:dyDescent="0.35"/>
    <row r="65534" ht="0" hidden="1" customHeight="1" x14ac:dyDescent="0.35"/>
    <row r="65535" ht="0" hidden="1" customHeight="1" x14ac:dyDescent="0.35"/>
    <row r="65536" ht="0" hidden="1" customHeight="1" x14ac:dyDescent="0.35"/>
    <row r="65537" ht="0" hidden="1" customHeight="1" x14ac:dyDescent="0.35"/>
    <row r="65538" ht="0" hidden="1" customHeight="1" x14ac:dyDescent="0.35"/>
    <row r="65539" ht="0" hidden="1" customHeight="1" x14ac:dyDescent="0.35"/>
    <row r="65540" ht="0" hidden="1" customHeight="1" x14ac:dyDescent="0.35"/>
    <row r="65541" ht="0" hidden="1" customHeight="1" x14ac:dyDescent="0.35"/>
    <row r="65542" ht="0" hidden="1" customHeight="1" x14ac:dyDescent="0.35"/>
    <row r="65543" ht="0" hidden="1" customHeight="1" x14ac:dyDescent="0.35"/>
    <row r="65544" ht="0" hidden="1" customHeight="1" x14ac:dyDescent="0.35"/>
    <row r="65545" ht="0" hidden="1" customHeight="1" x14ac:dyDescent="0.35"/>
    <row r="65546" ht="0" hidden="1" customHeight="1" x14ac:dyDescent="0.35"/>
    <row r="65547" ht="0" hidden="1" customHeight="1" x14ac:dyDescent="0.35"/>
    <row r="65548" ht="0" hidden="1" customHeight="1" x14ac:dyDescent="0.35"/>
    <row r="65549" ht="0" hidden="1" customHeight="1" x14ac:dyDescent="0.35"/>
    <row r="65550" ht="0" hidden="1" customHeight="1" x14ac:dyDescent="0.35"/>
    <row r="65551" ht="0" hidden="1" customHeight="1" x14ac:dyDescent="0.35"/>
    <row r="65552" ht="0" hidden="1" customHeight="1" x14ac:dyDescent="0.35"/>
    <row r="65553" ht="0" hidden="1" customHeight="1" x14ac:dyDescent="0.35"/>
    <row r="65554" ht="0" hidden="1" customHeight="1" x14ac:dyDescent="0.35"/>
    <row r="65555" ht="0" hidden="1" customHeight="1" x14ac:dyDescent="0.35"/>
    <row r="65556" ht="0" hidden="1" customHeight="1" x14ac:dyDescent="0.35"/>
    <row r="65557" ht="0" hidden="1" customHeight="1" x14ac:dyDescent="0.35"/>
    <row r="65558" ht="0" hidden="1" customHeight="1" x14ac:dyDescent="0.35"/>
    <row r="65559" ht="0" hidden="1" customHeight="1" x14ac:dyDescent="0.35"/>
    <row r="65560" ht="0" hidden="1" customHeight="1" x14ac:dyDescent="0.35"/>
    <row r="65561" ht="0" hidden="1" customHeight="1" x14ac:dyDescent="0.35"/>
    <row r="65562" ht="0" hidden="1" customHeight="1" x14ac:dyDescent="0.35"/>
    <row r="65563" ht="0" hidden="1" customHeight="1" x14ac:dyDescent="0.35"/>
    <row r="65564" ht="0" hidden="1" customHeight="1" x14ac:dyDescent="0.35"/>
    <row r="65565" ht="0" hidden="1" customHeight="1" x14ac:dyDescent="0.35"/>
    <row r="65566" ht="0" hidden="1" customHeight="1" x14ac:dyDescent="0.35"/>
    <row r="65567" ht="0" hidden="1" customHeight="1" x14ac:dyDescent="0.35"/>
    <row r="65568" ht="0" hidden="1" customHeight="1" x14ac:dyDescent="0.35"/>
    <row r="65569" ht="0" hidden="1" customHeight="1" x14ac:dyDescent="0.35"/>
    <row r="65570" ht="0" hidden="1" customHeight="1" x14ac:dyDescent="0.35"/>
    <row r="65571" ht="0" hidden="1" customHeight="1" x14ac:dyDescent="0.35"/>
    <row r="65572" ht="0" hidden="1" customHeight="1" x14ac:dyDescent="0.35"/>
    <row r="65573" ht="0" hidden="1" customHeight="1" x14ac:dyDescent="0.35"/>
    <row r="65574" ht="0" hidden="1" customHeight="1" x14ac:dyDescent="0.35"/>
    <row r="65575" ht="0" hidden="1" customHeight="1" x14ac:dyDescent="0.35"/>
    <row r="65576" ht="0" hidden="1" customHeight="1" x14ac:dyDescent="0.35"/>
    <row r="65577" ht="0" hidden="1" customHeight="1" x14ac:dyDescent="0.35"/>
    <row r="65578" ht="0" hidden="1" customHeight="1" x14ac:dyDescent="0.35"/>
    <row r="65579" ht="0" hidden="1" customHeight="1" x14ac:dyDescent="0.35"/>
    <row r="65580" ht="0" hidden="1" customHeight="1" x14ac:dyDescent="0.35"/>
    <row r="65581" ht="0" hidden="1" customHeight="1" x14ac:dyDescent="0.35"/>
    <row r="65582" ht="0" hidden="1" customHeight="1" x14ac:dyDescent="0.35"/>
    <row r="65583" ht="0" hidden="1" customHeight="1" x14ac:dyDescent="0.35"/>
    <row r="65584" ht="0" hidden="1" customHeight="1" x14ac:dyDescent="0.35"/>
    <row r="65585" ht="0" hidden="1" customHeight="1" x14ac:dyDescent="0.35"/>
    <row r="65586" ht="0" hidden="1" customHeight="1" x14ac:dyDescent="0.35"/>
    <row r="65587" ht="0" hidden="1" customHeight="1" x14ac:dyDescent="0.35"/>
    <row r="65588" ht="0" hidden="1" customHeight="1" x14ac:dyDescent="0.35"/>
    <row r="65589" ht="0" hidden="1" customHeight="1" x14ac:dyDescent="0.35"/>
    <row r="65590" ht="0" hidden="1" customHeight="1" x14ac:dyDescent="0.35"/>
    <row r="65591" ht="0" hidden="1" customHeight="1" x14ac:dyDescent="0.35"/>
    <row r="65592" ht="0" hidden="1" customHeight="1" x14ac:dyDescent="0.35"/>
    <row r="65593" ht="0" hidden="1" customHeight="1" x14ac:dyDescent="0.35"/>
    <row r="65594" ht="0" hidden="1" customHeight="1" x14ac:dyDescent="0.35"/>
    <row r="65595" ht="0" hidden="1" customHeight="1" x14ac:dyDescent="0.35"/>
    <row r="65596" ht="0" hidden="1" customHeight="1" x14ac:dyDescent="0.35"/>
    <row r="65597" ht="0" hidden="1" customHeight="1" x14ac:dyDescent="0.35"/>
    <row r="65598" ht="0" hidden="1" customHeight="1" x14ac:dyDescent="0.35"/>
    <row r="65599" ht="0" hidden="1" customHeight="1" x14ac:dyDescent="0.35"/>
    <row r="65600" ht="0" hidden="1" customHeight="1" x14ac:dyDescent="0.35"/>
    <row r="65601" ht="0" hidden="1" customHeight="1" x14ac:dyDescent="0.35"/>
    <row r="65602" ht="0" hidden="1" customHeight="1" x14ac:dyDescent="0.35"/>
    <row r="65603" ht="0" hidden="1" customHeight="1" x14ac:dyDescent="0.35"/>
    <row r="65604" ht="0" hidden="1" customHeight="1" x14ac:dyDescent="0.35"/>
    <row r="65605" ht="0" hidden="1" customHeight="1" x14ac:dyDescent="0.35"/>
    <row r="65606" ht="0" hidden="1" customHeight="1" x14ac:dyDescent="0.35"/>
    <row r="65607" ht="0" hidden="1" customHeight="1" x14ac:dyDescent="0.35"/>
    <row r="65608" ht="0" hidden="1" customHeight="1" x14ac:dyDescent="0.35"/>
    <row r="65609" ht="0" hidden="1" customHeight="1" x14ac:dyDescent="0.35"/>
    <row r="65610" ht="16.5" customHeight="1" x14ac:dyDescent="0.35"/>
  </sheetData>
  <mergeCells count="15">
    <mergeCell ref="C17:H17"/>
    <mergeCell ref="B2:J2"/>
    <mergeCell ref="B9:J9"/>
    <mergeCell ref="C11:D11"/>
    <mergeCell ref="E11:F11"/>
    <mergeCell ref="G11:H11"/>
    <mergeCell ref="C424:J424"/>
    <mergeCell ref="C52:H52"/>
    <mergeCell ref="E55:E59"/>
    <mergeCell ref="H55:H59"/>
    <mergeCell ref="C81:D81"/>
    <mergeCell ref="E81:F81"/>
    <mergeCell ref="G81:H81"/>
    <mergeCell ref="C407:F407"/>
    <mergeCell ref="D55:D59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49&amp;R09.12.2024</oddHeader>
    <oddFooter>&amp;LFiskeridirektoratet&amp;CSeksjon fiskeriregulering&amp;R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2024-12-09T09:05:01Z</dcterms:modified>
</cp:coreProperties>
</file>