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40A65669-94CF-4AE1-A9F9-A7650B921CA3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5" i="1" l="1"/>
  <c r="F345" i="1"/>
  <c r="E345" i="1"/>
  <c r="D345" i="1"/>
  <c r="G344" i="1"/>
  <c r="G345" i="1" s="1"/>
  <c r="G343" i="1"/>
  <c r="E336" i="1"/>
  <c r="D324" i="1"/>
  <c r="H323" i="1"/>
  <c r="H324" i="1" s="1"/>
  <c r="F323" i="1"/>
  <c r="F324" i="1" s="1"/>
  <c r="E323" i="1"/>
  <c r="E324" i="1" s="1"/>
  <c r="H322" i="1"/>
  <c r="F322" i="1"/>
  <c r="G322" i="1" s="1"/>
  <c r="E322" i="1"/>
  <c r="E315" i="1"/>
  <c r="D315" i="1"/>
  <c r="D304" i="1"/>
  <c r="H303" i="1"/>
  <c r="G303" i="1"/>
  <c r="F303" i="1"/>
  <c r="E303" i="1"/>
  <c r="H302" i="1"/>
  <c r="F302" i="1"/>
  <c r="E302" i="1"/>
  <c r="E300" i="1" s="1"/>
  <c r="H301" i="1"/>
  <c r="H300" i="1" s="1"/>
  <c r="F301" i="1"/>
  <c r="F300" i="1" s="1"/>
  <c r="G300" i="1" s="1"/>
  <c r="E301" i="1"/>
  <c r="H299" i="1"/>
  <c r="F299" i="1"/>
  <c r="F297" i="1" s="1"/>
  <c r="G297" i="1" s="1"/>
  <c r="E299" i="1"/>
  <c r="H298" i="1"/>
  <c r="H297" i="1" s="1"/>
  <c r="F298" i="1"/>
  <c r="E298" i="1"/>
  <c r="E297" i="1"/>
  <c r="H296" i="1"/>
  <c r="H294" i="1" s="1"/>
  <c r="F296" i="1"/>
  <c r="E296" i="1"/>
  <c r="H295" i="1"/>
  <c r="F295" i="1"/>
  <c r="F294" i="1" s="1"/>
  <c r="E295" i="1"/>
  <c r="I272" i="1"/>
  <c r="G272" i="1"/>
  <c r="H272" i="1" s="1"/>
  <c r="F272" i="1"/>
  <c r="I271" i="1"/>
  <c r="G271" i="1"/>
  <c r="H271" i="1" s="1"/>
  <c r="F271" i="1"/>
  <c r="I270" i="1"/>
  <c r="I268" i="1" s="1"/>
  <c r="G270" i="1"/>
  <c r="G268" i="1" s="1"/>
  <c r="H268" i="1" s="1"/>
  <c r="F270" i="1"/>
  <c r="I269" i="1"/>
  <c r="G269" i="1"/>
  <c r="F269" i="1"/>
  <c r="I267" i="1"/>
  <c r="G267" i="1"/>
  <c r="H267" i="1" s="1"/>
  <c r="F267" i="1"/>
  <c r="I266" i="1"/>
  <c r="H266" i="1"/>
  <c r="G266" i="1"/>
  <c r="F266" i="1"/>
  <c r="I265" i="1"/>
  <c r="G265" i="1"/>
  <c r="F265" i="1"/>
  <c r="F262" i="1" s="1"/>
  <c r="I264" i="1"/>
  <c r="I262" i="1" s="1"/>
  <c r="G264" i="1"/>
  <c r="H264" i="1" s="1"/>
  <c r="F264" i="1"/>
  <c r="I263" i="1"/>
  <c r="G263" i="1"/>
  <c r="H263" i="1" s="1"/>
  <c r="F263" i="1"/>
  <c r="E262" i="1"/>
  <c r="E273" i="1" s="1"/>
  <c r="D262" i="1"/>
  <c r="D273" i="1" s="1"/>
  <c r="H254" i="1"/>
  <c r="F254" i="1"/>
  <c r="D241" i="1"/>
  <c r="H240" i="1"/>
  <c r="F240" i="1"/>
  <c r="G240" i="1" s="1"/>
  <c r="E240" i="1"/>
  <c r="H239" i="1"/>
  <c r="F239" i="1"/>
  <c r="G239" i="1" s="1"/>
  <c r="E239" i="1"/>
  <c r="H238" i="1"/>
  <c r="F238" i="1"/>
  <c r="G238" i="1" s="1"/>
  <c r="E238" i="1"/>
  <c r="H237" i="1"/>
  <c r="H241" i="1" s="1"/>
  <c r="F237" i="1"/>
  <c r="E237" i="1"/>
  <c r="D219" i="1"/>
  <c r="H218" i="1"/>
  <c r="F218" i="1"/>
  <c r="G218" i="1" s="1"/>
  <c r="E218" i="1"/>
  <c r="H217" i="1"/>
  <c r="H215" i="1" s="1"/>
  <c r="H219" i="1" s="1"/>
  <c r="F217" i="1"/>
  <c r="F215" i="1" s="1"/>
  <c r="F219" i="1" s="1"/>
  <c r="G219" i="1" s="1"/>
  <c r="E217" i="1"/>
  <c r="E215" i="1" s="1"/>
  <c r="E219" i="1" s="1"/>
  <c r="H216" i="1"/>
  <c r="F216" i="1"/>
  <c r="E216" i="1"/>
  <c r="D206" i="1"/>
  <c r="H205" i="1"/>
  <c r="G205" i="1"/>
  <c r="F205" i="1"/>
  <c r="E205" i="1"/>
  <c r="H204" i="1"/>
  <c r="F204" i="1"/>
  <c r="E204" i="1"/>
  <c r="H203" i="1"/>
  <c r="H202" i="1" s="1"/>
  <c r="F203" i="1"/>
  <c r="F202" i="1" s="1"/>
  <c r="E203" i="1"/>
  <c r="E202" i="1" s="1"/>
  <c r="E206" i="1" s="1"/>
  <c r="E192" i="1"/>
  <c r="D192" i="1"/>
  <c r="I191" i="1"/>
  <c r="G191" i="1"/>
  <c r="H191" i="1" s="1"/>
  <c r="F191" i="1"/>
  <c r="I190" i="1"/>
  <c r="G190" i="1"/>
  <c r="H190" i="1" s="1"/>
  <c r="F190" i="1"/>
  <c r="I189" i="1"/>
  <c r="I192" i="1" s="1"/>
  <c r="G189" i="1"/>
  <c r="H189" i="1" s="1"/>
  <c r="F189" i="1"/>
  <c r="F192" i="1" s="1"/>
  <c r="D169" i="1"/>
  <c r="H168" i="1"/>
  <c r="F168" i="1"/>
  <c r="G168" i="1" s="1"/>
  <c r="E168" i="1"/>
  <c r="H167" i="1"/>
  <c r="F167" i="1"/>
  <c r="G167" i="1" s="1"/>
  <c r="E167" i="1"/>
  <c r="H166" i="1"/>
  <c r="F166" i="1"/>
  <c r="E166" i="1"/>
  <c r="H165" i="1"/>
  <c r="F165" i="1"/>
  <c r="E165" i="1"/>
  <c r="H164" i="1"/>
  <c r="F164" i="1"/>
  <c r="E164" i="1"/>
  <c r="E163" i="1" s="1"/>
  <c r="E169" i="1" s="1"/>
  <c r="H162" i="1"/>
  <c r="F162" i="1"/>
  <c r="G162" i="1" s="1"/>
  <c r="E162" i="1"/>
  <c r="H161" i="1"/>
  <c r="F161" i="1"/>
  <c r="E161" i="1"/>
  <c r="H160" i="1"/>
  <c r="F160" i="1"/>
  <c r="E160" i="1"/>
  <c r="I135" i="1"/>
  <c r="G135" i="1"/>
  <c r="H135" i="1" s="1"/>
  <c r="F135" i="1"/>
  <c r="I134" i="1"/>
  <c r="G134" i="1"/>
  <c r="H134" i="1" s="1"/>
  <c r="F134" i="1"/>
  <c r="H133" i="1"/>
  <c r="I132" i="1"/>
  <c r="G132" i="1"/>
  <c r="H132" i="1" s="1"/>
  <c r="F132" i="1"/>
  <c r="I131" i="1"/>
  <c r="H131" i="1"/>
  <c r="G131" i="1"/>
  <c r="F131" i="1"/>
  <c r="I130" i="1"/>
  <c r="G130" i="1"/>
  <c r="H130" i="1" s="1"/>
  <c r="F130" i="1"/>
  <c r="I129" i="1"/>
  <c r="G129" i="1"/>
  <c r="H129" i="1" s="1"/>
  <c r="F129" i="1"/>
  <c r="I128" i="1"/>
  <c r="G128" i="1"/>
  <c r="H128" i="1" s="1"/>
  <c r="F128" i="1"/>
  <c r="I127" i="1"/>
  <c r="H127" i="1"/>
  <c r="H126" i="1" s="1"/>
  <c r="G127" i="1"/>
  <c r="F127" i="1"/>
  <c r="F126" i="1" s="1"/>
  <c r="G126" i="1"/>
  <c r="E126" i="1"/>
  <c r="D126" i="1"/>
  <c r="I125" i="1"/>
  <c r="G125" i="1"/>
  <c r="H125" i="1" s="1"/>
  <c r="F125" i="1"/>
  <c r="I124" i="1"/>
  <c r="G124" i="1"/>
  <c r="H124" i="1" s="1"/>
  <c r="F124" i="1"/>
  <c r="I123" i="1"/>
  <c r="G123" i="1"/>
  <c r="H123" i="1" s="1"/>
  <c r="F123" i="1"/>
  <c r="I122" i="1"/>
  <c r="G122" i="1"/>
  <c r="G121" i="1" s="1"/>
  <c r="G120" i="1" s="1"/>
  <c r="F122" i="1"/>
  <c r="F121" i="1" s="1"/>
  <c r="E121" i="1"/>
  <c r="E120" i="1" s="1"/>
  <c r="E137" i="1" s="1"/>
  <c r="D121" i="1"/>
  <c r="I119" i="1"/>
  <c r="G119" i="1"/>
  <c r="H119" i="1" s="1"/>
  <c r="F119" i="1"/>
  <c r="I118" i="1"/>
  <c r="H118" i="1"/>
  <c r="G118" i="1"/>
  <c r="F118" i="1"/>
  <c r="I117" i="1"/>
  <c r="G117" i="1"/>
  <c r="H117" i="1" s="1"/>
  <c r="F117" i="1"/>
  <c r="I116" i="1"/>
  <c r="I115" i="1" s="1"/>
  <c r="G116" i="1"/>
  <c r="H116" i="1" s="1"/>
  <c r="H115" i="1" s="1"/>
  <c r="F116" i="1"/>
  <c r="E115" i="1"/>
  <c r="D115" i="1"/>
  <c r="C113" i="1"/>
  <c r="I93" i="1"/>
  <c r="G93" i="1"/>
  <c r="H93" i="1" s="1"/>
  <c r="F93" i="1"/>
  <c r="I92" i="1"/>
  <c r="G92" i="1"/>
  <c r="H92" i="1" s="1"/>
  <c r="F92" i="1"/>
  <c r="I91" i="1"/>
  <c r="G91" i="1"/>
  <c r="H91" i="1" s="1"/>
  <c r="F91" i="1"/>
  <c r="I90" i="1"/>
  <c r="G90" i="1"/>
  <c r="H90" i="1" s="1"/>
  <c r="F90" i="1"/>
  <c r="I89" i="1"/>
  <c r="G89" i="1"/>
  <c r="H89" i="1" s="1"/>
  <c r="F89" i="1"/>
  <c r="I88" i="1"/>
  <c r="G88" i="1"/>
  <c r="H88" i="1" s="1"/>
  <c r="F88" i="1"/>
  <c r="I87" i="1"/>
  <c r="G87" i="1"/>
  <c r="H87" i="1" s="1"/>
  <c r="F87" i="1"/>
  <c r="I86" i="1"/>
  <c r="G86" i="1"/>
  <c r="H86" i="1" s="1"/>
  <c r="F86" i="1"/>
  <c r="I85" i="1"/>
  <c r="G85" i="1"/>
  <c r="H85" i="1" s="1"/>
  <c r="F85" i="1"/>
  <c r="I84" i="1"/>
  <c r="G84" i="1"/>
  <c r="H84" i="1" s="1"/>
  <c r="F84" i="1"/>
  <c r="F83" i="1" s="1"/>
  <c r="F82" i="1" s="1"/>
  <c r="I83" i="1"/>
  <c r="I82" i="1" s="1"/>
  <c r="E83" i="1"/>
  <c r="E82" i="1" s="1"/>
  <c r="D83" i="1"/>
  <c r="D82" i="1" s="1"/>
  <c r="I81" i="1"/>
  <c r="G81" i="1"/>
  <c r="H81" i="1" s="1"/>
  <c r="H79" i="1" s="1"/>
  <c r="F81" i="1"/>
  <c r="I80" i="1"/>
  <c r="H80" i="1"/>
  <c r="G80" i="1"/>
  <c r="F80" i="1"/>
  <c r="E79" i="1"/>
  <c r="D79" i="1"/>
  <c r="D94" i="1" s="1"/>
  <c r="C76" i="1"/>
  <c r="H72" i="1"/>
  <c r="F72" i="1"/>
  <c r="D72" i="1"/>
  <c r="H58" i="1"/>
  <c r="H57" i="1"/>
  <c r="I52" i="1"/>
  <c r="I31" i="1" s="1"/>
  <c r="H52" i="1"/>
  <c r="G52" i="1"/>
  <c r="G31" i="1" s="1"/>
  <c r="H31" i="1" s="1"/>
  <c r="F52" i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H35" i="1"/>
  <c r="G35" i="1"/>
  <c r="F35" i="1"/>
  <c r="I34" i="1"/>
  <c r="G34" i="1"/>
  <c r="H34" i="1" s="1"/>
  <c r="F34" i="1"/>
  <c r="F33" i="1" s="1"/>
  <c r="E33" i="1"/>
  <c r="E25" i="1" s="1"/>
  <c r="D33" i="1"/>
  <c r="I32" i="1"/>
  <c r="H32" i="1"/>
  <c r="G32" i="1"/>
  <c r="F32" i="1"/>
  <c r="F31" i="1"/>
  <c r="I30" i="1"/>
  <c r="H30" i="1"/>
  <c r="G30" i="1"/>
  <c r="F30" i="1"/>
  <c r="I29" i="1"/>
  <c r="G29" i="1"/>
  <c r="H29" i="1" s="1"/>
  <c r="F29" i="1"/>
  <c r="I28" i="1"/>
  <c r="G28" i="1"/>
  <c r="H28" i="1" s="1"/>
  <c r="F28" i="1"/>
  <c r="F26" i="1" s="1"/>
  <c r="I27" i="1"/>
  <c r="G27" i="1"/>
  <c r="H27" i="1" s="1"/>
  <c r="F27" i="1"/>
  <c r="E26" i="1"/>
  <c r="D26" i="1"/>
  <c r="I24" i="1"/>
  <c r="G24" i="1"/>
  <c r="H24" i="1" s="1"/>
  <c r="F24" i="1"/>
  <c r="I23" i="1"/>
  <c r="G23" i="1"/>
  <c r="H23" i="1" s="1"/>
  <c r="F23" i="1"/>
  <c r="F22" i="1" s="1"/>
  <c r="E22" i="1"/>
  <c r="E42" i="1" s="1"/>
  <c r="D22" i="1"/>
  <c r="H16" i="1"/>
  <c r="F16" i="1"/>
  <c r="D16" i="1"/>
  <c r="F206" i="1" l="1"/>
  <c r="G202" i="1"/>
  <c r="H304" i="1"/>
  <c r="D25" i="1"/>
  <c r="I26" i="1"/>
  <c r="I79" i="1"/>
  <c r="I94" i="1" s="1"/>
  <c r="F169" i="1"/>
  <c r="G169" i="1" s="1"/>
  <c r="E241" i="1"/>
  <c r="H22" i="1"/>
  <c r="F241" i="1"/>
  <c r="F268" i="1"/>
  <c r="I121" i="1"/>
  <c r="F273" i="1"/>
  <c r="I273" i="1"/>
  <c r="G79" i="1"/>
  <c r="G94" i="1" s="1"/>
  <c r="H163" i="1"/>
  <c r="H169" i="1" s="1"/>
  <c r="H206" i="1"/>
  <c r="G206" i="1"/>
  <c r="G262" i="1"/>
  <c r="F115" i="1"/>
  <c r="I126" i="1"/>
  <c r="E294" i="1"/>
  <c r="E304" i="1" s="1"/>
  <c r="F25" i="1"/>
  <c r="F42" i="1" s="1"/>
  <c r="F79" i="1"/>
  <c r="F94" i="1" s="1"/>
  <c r="I33" i="1"/>
  <c r="I25" i="1" s="1"/>
  <c r="I42" i="1" s="1"/>
  <c r="F163" i="1"/>
  <c r="G163" i="1" s="1"/>
  <c r="G241" i="1"/>
  <c r="I22" i="1"/>
  <c r="E94" i="1"/>
  <c r="D120" i="1"/>
  <c r="D137" i="1" s="1"/>
  <c r="G192" i="1"/>
  <c r="H192" i="1" s="1"/>
  <c r="H26" i="1"/>
  <c r="F304" i="1"/>
  <c r="G304" i="1" s="1"/>
  <c r="G294" i="1"/>
  <c r="G273" i="1"/>
  <c r="H83" i="1"/>
  <c r="H82" i="1" s="1"/>
  <c r="H94" i="1" s="1"/>
  <c r="D42" i="1"/>
  <c r="F120" i="1"/>
  <c r="F137" i="1" s="1"/>
  <c r="G215" i="1"/>
  <c r="H265" i="1"/>
  <c r="H262" i="1" s="1"/>
  <c r="H273" i="1" s="1"/>
  <c r="G115" i="1"/>
  <c r="G137" i="1" s="1"/>
  <c r="G33" i="1"/>
  <c r="H122" i="1"/>
  <c r="H121" i="1" s="1"/>
  <c r="H120" i="1" s="1"/>
  <c r="H137" i="1" s="1"/>
  <c r="G323" i="1"/>
  <c r="G324" i="1" s="1"/>
  <c r="G22" i="1"/>
  <c r="G26" i="1"/>
  <c r="G83" i="1"/>
  <c r="G82" i="1" s="1"/>
  <c r="G237" i="1"/>
  <c r="G160" i="1"/>
  <c r="I120" i="1" l="1"/>
  <c r="I137" i="1" s="1"/>
  <c r="G25" i="1"/>
  <c r="G42" i="1" s="1"/>
  <c r="H33" i="1"/>
  <c r="H25" i="1" s="1"/>
  <c r="H42" i="1" s="1"/>
</calcChain>
</file>

<file path=xl/sharedStrings.xml><?xml version="1.0" encoding="utf-8"?>
<sst xmlns="http://schemas.openxmlformats.org/spreadsheetml/2006/main" count="391" uniqueCount="166">
  <si>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</si>
  <si>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</si>
  <si>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</si>
  <si>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</si>
  <si>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</si>
  <si>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</si>
  <si>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</si>
  <si>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</si>
  <si>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</si>
  <si>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</si>
  <si>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</si>
  <si>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</si>
  <si>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</si>
  <si>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</si>
  <si>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</si>
  <si>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</si>
  <si>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</si>
  <si>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</si>
  <si>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</si>
  <si>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</si>
  <si>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</si>
  <si>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</si>
  <si>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</si>
  <si>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</si>
  <si>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</si>
  <si>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</si>
  <si>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</si>
  <si>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</si>
  <si>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</si>
  <si>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</si>
  <si>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</si>
  <si>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</si>
  <si>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</si>
  <si>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</si>
  <si>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</si>
  <si>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</si>
  <si>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</si>
  <si>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</si>
  <si>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</si>
  <si>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</si>
  <si>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</si>
  <si>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</si>
  <si>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</si>
  <si>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</si>
  <si>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</si>
  <si>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</si>
  <si>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</si>
  <si>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</si>
  <si>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</si>
  <si>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</si>
  <si>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</si>
  <si>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</si>
  <si>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</si>
  <si>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</si>
  <si>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</si>
  <si>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</si>
  <si>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</si>
  <si>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</si>
  <si>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</si>
  <si>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</si>
  <si>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</si>
  <si>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</si>
  <si>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</si>
  <si>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</si>
  <si>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</si>
  <si>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</si>
  <si>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</si>
  <si>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</si>
  <si>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</si>
  <si>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</si>
  <si>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</si>
  <si>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</si>
  <si>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</si>
  <si>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</si>
  <si>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</si>
  <si>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</si>
  <si>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</si>
  <si>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</si>
  <si>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</si>
  <si>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</si>
  <si>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</si>
  <si>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</si>
  <si>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</si>
  <si>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</si>
  <si>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</si>
  <si>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</si>
  <si>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</si>
  <si>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</si>
  <si>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</si>
  <si>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</si>
  <si>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</si>
  <si>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</si>
  <si>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</si>
  <si>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</si>
  <si>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</si>
  <si>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</si>
  <si>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</si>
  <si>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</si>
  <si>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</si>
  <si>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</si>
  <si>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</si>
  <si>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</si>
  <si>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</si>
  <si>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</si>
  <si>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</si>
  <si>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</si>
  <si>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</si>
  <si>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</si>
  <si>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</si>
  <si>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</si>
  <si>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</si>
  <si>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</si>
  <si>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</si>
  <si>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</si>
  <si>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</si>
  <si>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</si>
  <si>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</si>
  <si>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</si>
  <si>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</si>
  <si>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</si>
  <si>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</si>
  <si>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</si>
  <si>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</si>
  <si>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</si>
  <si>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</si>
  <si>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</si>
  <si>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</si>
  <si>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</si>
  <si>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</si>
  <si>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</si>
  <si>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</si>
  <si>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</si>
  <si>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</si>
  <si>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</si>
  <si>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</si>
  <si>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</si>
  <si>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</si>
  <si>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</si>
  <si>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</si>
  <si>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FANGST AV TORSK, HYSE, SEI, BLÅKVEITE, SNABELUER, LANGE, BROSME OG REKER I 2026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</si>
  <si>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2 543 tonn avsatt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</si>
  <si>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2025.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</si>
  <si>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29.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</si>
  <si>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953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</si>
  <si>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2025</t>
    </r>
  </si>
  <si>
    <t>Avsetninger1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</si>
  <si>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156 tonn til forsknings- og undervisningskvoter, 2 000 tonn til fangst innenfor ungdomsfiskeordningen og rekreasjonsfiske, 350 tonn til agnformål og 1 652 tonn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</si>
  <si>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</si>
  <si>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5 230 tonn, periodekvote andre periode: 0 tonn, bifangstavsetning: 400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</si>
  <si>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46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</si>
  <si>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14 452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</si>
  <si>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2 836 tonn i Fiskevernsonen ved Svalbard og 4 082 tonn i internasjonalt farvann i Norskehavet. I tillegg er det avsatt 1 000 tonn snabeluer til EU-fartøys fiske. 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</si>
  <si>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</si>
  <si>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2025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</si>
  <si>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</si>
  <si>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2 124 tonn av den norske kvoten i Nordsjøen fiskes i Skagerrak.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</si>
  <si>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2 124 tonn av den norske kvoten i Nordsjøen fiskes i Skagerrak.</t>
    </r>
  </si>
  <si>
    <t>2 Registrert rekreasjonsfiske utgjør 2 tonn, men det legges til grunn at hele avsetningen tas</t>
  </si>
  <si>
    <t>4 Registrert rekreasjonsfiske utgjør 15 tonn, men det legges til grunn at hele avsetningen tas</t>
  </si>
  <si>
    <t>3 Registrert rekreasjonsfiske utgjør 31 tonn, men det legges til grunn at hele avsetningen tas</t>
  </si>
  <si>
    <t>FANGST UKE 4</t>
  </si>
  <si>
    <t>FANGST T.O.M UKE 4</t>
  </si>
  <si>
    <t>RESTKVOTER UKE 4</t>
  </si>
  <si>
    <t>FANGST T.O.M UKE 4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</si>
  <si>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Belastning av notkvoten er ikke beregnet i denne statikken for denne uken.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</si>
  <si>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1397 tonn avsatt til rekrutteringsordningen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</si>
</sst>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4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27" zoomScale="112" zoomScaleNormal="55" zoomScaleSheetLayoutView="100" zoomScalePageLayoutView="85" workbookViewId="0">
      <selection activeCell="H48" sqref="H48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31" t="s">
        <v>139</v>
      </c>
      <c r="C2" s="332"/>
      <c r="D2" s="332"/>
      <c r="E2" s="332"/>
      <c r="F2" s="332"/>
      <c r="G2" s="332"/>
      <c r="H2" s="332"/>
      <c r="I2" s="332"/>
      <c r="J2" s="333"/>
    </row>
    <row r="3" spans="1:10" ht="14.85" customHeight="1" x14ac:dyDescent="0.2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34"/>
      <c r="C9" s="335"/>
      <c r="D9" s="335"/>
      <c r="E9" s="335"/>
      <c r="F9" s="335"/>
      <c r="G9" s="335"/>
      <c r="H9" s="335"/>
      <c r="I9" s="335"/>
      <c r="J9" s="336"/>
    </row>
    <row r="10" spans="1:10" ht="12" customHeight="1" x14ac:dyDescent="0.25">
      <c r="A10" s="1"/>
      <c r="B10" s="281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328" t="s">
        <v>1</v>
      </c>
      <c r="D11" s="329"/>
      <c r="E11" s="328" t="s">
        <v>2</v>
      </c>
      <c r="F11" s="329"/>
      <c r="G11" s="328" t="s">
        <v>3</v>
      </c>
      <c r="H11" s="329"/>
      <c r="I11" s="173"/>
      <c r="J11" s="271"/>
    </row>
    <row r="12" spans="1:10" ht="14.1" customHeight="1" x14ac:dyDescent="0.25">
      <c r="A12" s="1"/>
      <c r="B12" s="281"/>
      <c r="C12" s="96"/>
      <c r="D12" s="96"/>
      <c r="E12" s="96" t="s">
        <v>4</v>
      </c>
      <c r="F12" s="109">
        <v>32535</v>
      </c>
      <c r="G12" s="110" t="s">
        <v>5</v>
      </c>
      <c r="H12" s="109">
        <v>10717</v>
      </c>
      <c r="I12" s="173"/>
      <c r="J12" s="271"/>
    </row>
    <row r="13" spans="1:10" ht="15.75" customHeight="1" x14ac:dyDescent="0.25">
      <c r="A13" s="1"/>
      <c r="B13" s="281"/>
      <c r="C13" s="110" t="s">
        <v>79</v>
      </c>
      <c r="D13" s="114">
        <v>139827</v>
      </c>
      <c r="E13" s="110" t="s">
        <v>7</v>
      </c>
      <c r="F13" s="114">
        <v>92919</v>
      </c>
      <c r="G13" s="110" t="s">
        <v>8</v>
      </c>
      <c r="H13" s="114">
        <v>65860</v>
      </c>
      <c r="I13" s="173"/>
      <c r="J13" s="271"/>
    </row>
    <row r="14" spans="1:10" ht="14.25" customHeight="1" x14ac:dyDescent="0.25">
      <c r="A14" s="1"/>
      <c r="B14" s="281"/>
      <c r="C14" s="110" t="s">
        <v>9</v>
      </c>
      <c r="D14" s="114">
        <v>127827</v>
      </c>
      <c r="E14" s="110" t="s">
        <v>10</v>
      </c>
      <c r="F14" s="114">
        <v>14373</v>
      </c>
      <c r="G14" s="110" t="s">
        <v>11</v>
      </c>
      <c r="H14" s="114">
        <v>8392</v>
      </c>
      <c r="I14" s="173"/>
      <c r="J14" s="271"/>
    </row>
    <row r="15" spans="1:10" ht="15.75" customHeight="1" x14ac:dyDescent="0.25">
      <c r="A15" s="1"/>
      <c r="B15" s="281"/>
      <c r="C15" s="110" t="s">
        <v>69</v>
      </c>
      <c r="D15" s="114">
        <v>38346</v>
      </c>
      <c r="E15" s="161"/>
      <c r="F15" s="215"/>
      <c r="G15" s="161" t="s">
        <v>12</v>
      </c>
      <c r="H15" s="215">
        <v>7950</v>
      </c>
      <c r="I15" s="173"/>
      <c r="J15" s="271"/>
    </row>
    <row r="16" spans="1:10" ht="14.1" customHeight="1" x14ac:dyDescent="0.25">
      <c r="A16" s="1"/>
      <c r="B16" s="281"/>
      <c r="C16" s="172" t="s">
        <v>13</v>
      </c>
      <c r="D16" s="184">
        <f>SUM(D13:D15)</f>
        <v>306000</v>
      </c>
      <c r="E16" s="172" t="s">
        <v>14</v>
      </c>
      <c r="F16" s="184">
        <f>SUM(F12:F15)</f>
        <v>139827</v>
      </c>
      <c r="G16" s="172" t="s">
        <v>7</v>
      </c>
      <c r="H16" s="184">
        <f>SUM(H12:H15)</f>
        <v>92919</v>
      </c>
      <c r="J16" s="271"/>
    </row>
    <row r="17" spans="1:10" x14ac:dyDescent="0.25">
      <c r="A17" s="101"/>
      <c r="B17" s="24"/>
      <c r="C17" s="321"/>
      <c r="D17" s="321"/>
      <c r="E17" s="321"/>
      <c r="F17" s="321"/>
      <c r="G17" s="321"/>
      <c r="H17" s="321"/>
      <c r="I17" s="101"/>
      <c r="J17" s="157"/>
    </row>
    <row r="18" spans="1:10" ht="15" customHeight="1" x14ac:dyDescent="0.25">
      <c r="A18" s="1"/>
      <c r="B18" s="281"/>
      <c r="C18" s="216"/>
      <c r="D18" s="216"/>
      <c r="E18" s="217"/>
      <c r="F18" s="216"/>
      <c r="G18" s="216"/>
      <c r="H18" s="216"/>
      <c r="I18" s="216"/>
      <c r="J18" s="316"/>
    </row>
    <row r="19" spans="1:10" ht="15" customHeight="1" x14ac:dyDescent="0.25">
      <c r="A19" s="1"/>
      <c r="B19" s="281"/>
      <c r="C19" s="17" t="s">
        <v>15</v>
      </c>
      <c r="D19" s="216"/>
      <c r="E19" s="217"/>
      <c r="F19" s="216"/>
      <c r="G19" s="216"/>
      <c r="H19" s="196"/>
      <c r="I19" s="216"/>
      <c r="J19" s="316"/>
    </row>
    <row r="20" spans="1:10" ht="12" customHeight="1" x14ac:dyDescent="0.25">
      <c r="A20" s="1"/>
      <c r="B20" s="281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160</v>
      </c>
      <c r="G21" s="68" t="s">
        <v>161</v>
      </c>
      <c r="H21" s="68" t="s">
        <v>162</v>
      </c>
      <c r="I21" s="68" t="s">
        <v>163</v>
      </c>
      <c r="J21" s="305"/>
    </row>
    <row r="22" spans="1:10" ht="14.1" customHeight="1" x14ac:dyDescent="0.25">
      <c r="A22" s="1"/>
      <c r="B22" s="281"/>
      <c r="C22" s="15" t="s">
        <v>19</v>
      </c>
      <c r="D22" s="27">
        <f>D23+D24</f>
        <v>32535</v>
      </c>
      <c r="E22" s="27">
        <f>E23+E24</f>
        <v>0</v>
      </c>
      <c r="F22" s="27">
        <f t="shared" ref="F22:I22" si="0">F24+F23</f>
        <v>405.54149999999998</v>
      </c>
      <c r="G22" s="27">
        <f t="shared" si="0"/>
        <v>1343.8933199999999</v>
      </c>
      <c r="H22" s="10">
        <f>H24+H23</f>
        <v>31191.106680000001</v>
      </c>
      <c r="I22" s="10">
        <f t="shared" si="0"/>
        <v>2036.14888</v>
      </c>
      <c r="J22" s="271"/>
    </row>
    <row r="23" spans="1:10" ht="14.1" customHeight="1" x14ac:dyDescent="0.25">
      <c r="A23" s="1"/>
      <c r="B23" s="281"/>
      <c r="C23" s="43" t="s">
        <v>20</v>
      </c>
      <c r="D23" s="44">
        <v>31785</v>
      </c>
      <c r="E23" s="44"/>
      <c r="F23" s="22">
        <f>405.5415</f>
        <v>405.54149999999998</v>
      </c>
      <c r="G23" s="22">
        <f>1343.89332</f>
        <v>1343.8933199999999</v>
      </c>
      <c r="H23" s="22">
        <f>D23-G23</f>
        <v>30441.106680000001</v>
      </c>
      <c r="I23" s="22">
        <f>1987.63738</f>
        <v>1987.6373799999999</v>
      </c>
      <c r="J23" s="271"/>
    </row>
    <row r="24" spans="1:10" ht="14.1" customHeight="1" x14ac:dyDescent="0.25">
      <c r="A24" s="1"/>
      <c r="B24" s="281"/>
      <c r="C24" s="47" t="s">
        <v>21</v>
      </c>
      <c r="D24" s="218">
        <v>750</v>
      </c>
      <c r="E24" s="218"/>
      <c r="F24" s="165">
        <f>0</f>
        <v>0</v>
      </c>
      <c r="G24" s="22">
        <f>0</f>
        <v>0</v>
      </c>
      <c r="H24" s="22">
        <f>D24-G24</f>
        <v>750</v>
      </c>
      <c r="I24" s="22">
        <f>48.5115</f>
        <v>48.511499999999998</v>
      </c>
      <c r="J24" s="271"/>
    </row>
    <row r="25" spans="1:10" ht="14.1" customHeight="1" x14ac:dyDescent="0.25">
      <c r="A25" s="1"/>
      <c r="B25" s="281"/>
      <c r="C25" s="15" t="s">
        <v>22</v>
      </c>
      <c r="D25" s="27">
        <f>D26+D32+D33</f>
        <v>95462</v>
      </c>
      <c r="E25" s="27">
        <f>E26+E32+E33</f>
        <v>0</v>
      </c>
      <c r="F25" s="27">
        <f t="shared" ref="F25:I25" si="1">F33+F32+F26</f>
        <v>2872.1845800000001</v>
      </c>
      <c r="G25" s="10">
        <f t="shared" si="1"/>
        <v>5542.8040199999996</v>
      </c>
      <c r="H25" s="10">
        <f t="shared" si="1"/>
        <v>89919.19597999999</v>
      </c>
      <c r="I25" s="10">
        <f t="shared" si="1"/>
        <v>3484.5279099999998</v>
      </c>
      <c r="J25" s="271"/>
    </row>
    <row r="26" spans="1:10" ht="15" customHeight="1" x14ac:dyDescent="0.25">
      <c r="A26" s="49"/>
      <c r="B26" s="51"/>
      <c r="C26" s="54" t="s">
        <v>23</v>
      </c>
      <c r="D26" s="55">
        <f>D27+D28+D29+D30+D31</f>
        <v>75488</v>
      </c>
      <c r="E26" s="55">
        <f>E27+E28+E29+E30+E31</f>
        <v>0</v>
      </c>
      <c r="F26" s="129">
        <f>F27+F28+F29+F30+F31</f>
        <v>2541.6313800000003</v>
      </c>
      <c r="G26" s="129">
        <f>G27+G28+G29+G30+G31</f>
        <v>4791.0901999999996</v>
      </c>
      <c r="H26" s="129">
        <f t="shared" ref="H26:I26" si="2">H27+H28+H29+H30+H31</f>
        <v>70696.909799999994</v>
      </c>
      <c r="I26" s="129">
        <f t="shared" si="2"/>
        <v>2710.7210700000001</v>
      </c>
      <c r="J26" s="271"/>
    </row>
    <row r="27" spans="1:10" ht="14.1" customHeight="1" x14ac:dyDescent="0.25">
      <c r="A27" s="192"/>
      <c r="B27" s="176"/>
      <c r="C27" s="60" t="s">
        <v>24</v>
      </c>
      <c r="D27" s="61">
        <v>19164</v>
      </c>
      <c r="E27" s="61"/>
      <c r="F27" s="209">
        <f>620.06732 - F53</f>
        <v>620.06732</v>
      </c>
      <c r="G27" s="123">
        <f>1198.43563 - G53</f>
        <v>1198.4356299999999</v>
      </c>
      <c r="H27" s="123">
        <f t="shared" ref="H27:H41" si="3">D27-G27</f>
        <v>17965.56437</v>
      </c>
      <c r="I27" s="123">
        <f>701.29748 - I53</f>
        <v>701.29747999999995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19036</v>
      </c>
      <c r="E28" s="61"/>
      <c r="F28" s="123">
        <f>1082.78423 - F54</f>
        <v>1082.78423</v>
      </c>
      <c r="G28" s="123">
        <f>2120.87857 - G54</f>
        <v>2120.8785699999999</v>
      </c>
      <c r="H28" s="123">
        <f t="shared" si="3"/>
        <v>16915.121429999999</v>
      </c>
      <c r="I28" s="123">
        <f>1153.9997 - I54</f>
        <v>1153.9997000000001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17407</v>
      </c>
      <c r="E29" s="61"/>
      <c r="F29" s="123">
        <f>648.80567 - F55</f>
        <v>648.80566999999996</v>
      </c>
      <c r="G29" s="123">
        <f>1151.0135 - G55</f>
        <v>1151.0135</v>
      </c>
      <c r="H29" s="123">
        <f t="shared" si="3"/>
        <v>16255.986499999999</v>
      </c>
      <c r="I29" s="123">
        <f>652.48723 - I55</f>
        <v>652.48722999999995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12796</v>
      </c>
      <c r="E30" s="61"/>
      <c r="F30" s="123">
        <f>189.97416 - F56</f>
        <v>189.97416000000001</v>
      </c>
      <c r="G30" s="123">
        <f>320.7625 - G56</f>
        <v>320.76249999999999</v>
      </c>
      <c r="H30" s="123">
        <f t="shared" si="3"/>
        <v>12475.237499999999</v>
      </c>
      <c r="I30" s="123">
        <f>202.93666 - I56</f>
        <v>202.93665999999999</v>
      </c>
      <c r="J30" s="63"/>
    </row>
    <row r="31" spans="1:10" ht="14.1" customHeight="1" x14ac:dyDescent="0.25">
      <c r="A31" s="192"/>
      <c r="B31" s="176"/>
      <c r="C31" s="60" t="s">
        <v>137</v>
      </c>
      <c r="D31" s="61">
        <v>7085</v>
      </c>
      <c r="E31" s="61"/>
      <c r="F31" s="123">
        <f>F52</f>
        <v>0</v>
      </c>
      <c r="G31" s="123">
        <f>G52</f>
        <v>0</v>
      </c>
      <c r="H31" s="123">
        <f t="shared" si="3"/>
        <v>7085</v>
      </c>
      <c r="I31" s="123">
        <f>I52</f>
        <v>0</v>
      </c>
      <c r="J31" s="63"/>
    </row>
    <row r="32" spans="1:10" ht="14.1" customHeight="1" x14ac:dyDescent="0.25">
      <c r="A32" s="64"/>
      <c r="B32" s="51"/>
      <c r="C32" s="54" t="s">
        <v>28</v>
      </c>
      <c r="D32" s="55">
        <v>10717</v>
      </c>
      <c r="E32" s="55"/>
      <c r="F32" s="129">
        <f>74.5605</f>
        <v>74.560500000000005</v>
      </c>
      <c r="G32" s="129">
        <f>252.0315</f>
        <v>252.03149999999999</v>
      </c>
      <c r="H32" s="129">
        <f t="shared" si="3"/>
        <v>10464.968500000001</v>
      </c>
      <c r="I32" s="129">
        <f>449.91445</f>
        <v>449.91444999999999</v>
      </c>
      <c r="J32" s="63"/>
    </row>
    <row r="33" spans="1:10" ht="14.1" customHeight="1" x14ac:dyDescent="0.25">
      <c r="A33" s="64"/>
      <c r="B33" s="51"/>
      <c r="C33" s="54" t="s">
        <v>29</v>
      </c>
      <c r="D33" s="55">
        <f>D34+D35</f>
        <v>9257</v>
      </c>
      <c r="E33" s="55">
        <f>E34+E35</f>
        <v>0</v>
      </c>
      <c r="F33" s="129">
        <f>F34+F35</f>
        <v>255.99270000000001</v>
      </c>
      <c r="G33" s="129">
        <f>G34+G35</f>
        <v>499.68232</v>
      </c>
      <c r="H33" s="129">
        <f t="shared" si="3"/>
        <v>8757.3176800000001</v>
      </c>
      <c r="I33" s="129">
        <f>I34+I35</f>
        <v>323.89238999999998</v>
      </c>
      <c r="J33" s="63"/>
    </row>
    <row r="34" spans="1:10" ht="14.1" customHeight="1" x14ac:dyDescent="0.25">
      <c r="A34" s="192"/>
      <c r="B34" s="176"/>
      <c r="C34" s="60" t="s">
        <v>30</v>
      </c>
      <c r="D34" s="61">
        <v>8392</v>
      </c>
      <c r="E34" s="61"/>
      <c r="F34" s="123">
        <f>269.9927 - F57 - F58</f>
        <v>255.99270000000001</v>
      </c>
      <c r="G34" s="129">
        <f>520.68232 - G57 - G58</f>
        <v>499.68232</v>
      </c>
      <c r="H34" s="123">
        <f t="shared" si="3"/>
        <v>7892.3176800000001</v>
      </c>
      <c r="I34" s="123">
        <f>323.89239 - I57 - I58</f>
        <v>323.89238999999998</v>
      </c>
      <c r="J34" s="63"/>
    </row>
    <row r="35" spans="1:10" ht="14.1" customHeight="1" x14ac:dyDescent="0.25">
      <c r="A35" s="192"/>
      <c r="B35" s="176"/>
      <c r="C35" s="66" t="s">
        <v>31</v>
      </c>
      <c r="D35" s="220">
        <v>865</v>
      </c>
      <c r="E35" s="220"/>
      <c r="F35" s="67">
        <f>F57</f>
        <v>0</v>
      </c>
      <c r="G35" s="67">
        <f>G57</f>
        <v>0</v>
      </c>
      <c r="H35" s="67">
        <f t="shared" si="3"/>
        <v>865</v>
      </c>
      <c r="I35" s="67">
        <f>I57</f>
        <v>0</v>
      </c>
      <c r="J35" s="63"/>
    </row>
    <row r="36" spans="1:10" ht="15.75" customHeight="1" x14ac:dyDescent="0.25">
      <c r="A36" s="1"/>
      <c r="B36" s="281"/>
      <c r="C36" s="70" t="s">
        <v>32</v>
      </c>
      <c r="D36" s="140">
        <v>500</v>
      </c>
      <c r="E36" s="140"/>
      <c r="F36" s="136">
        <f>0</f>
        <v>0</v>
      </c>
      <c r="G36" s="136">
        <f>0</f>
        <v>0</v>
      </c>
      <c r="H36" s="136">
        <f t="shared" si="3"/>
        <v>500</v>
      </c>
      <c r="I36" s="136">
        <f>0</f>
        <v>0</v>
      </c>
      <c r="J36" s="271"/>
    </row>
    <row r="37" spans="1:10" ht="14.1" customHeight="1" x14ac:dyDescent="0.25">
      <c r="A37" s="1"/>
      <c r="B37" s="281"/>
      <c r="C37" s="70" t="s">
        <v>33</v>
      </c>
      <c r="D37" s="140">
        <v>880</v>
      </c>
      <c r="E37" s="140"/>
      <c r="F37" s="95">
        <f>16.0108</f>
        <v>16.0108</v>
      </c>
      <c r="G37" s="95">
        <f>52.8218</f>
        <v>52.821800000000003</v>
      </c>
      <c r="H37" s="95">
        <f t="shared" si="3"/>
        <v>827.17819999999995</v>
      </c>
      <c r="I37" s="95">
        <f>18.31051</f>
        <v>18.310510000000001</v>
      </c>
      <c r="J37" s="271"/>
    </row>
    <row r="38" spans="1:10" ht="17.25" customHeight="1" x14ac:dyDescent="0.25">
      <c r="A38" s="1"/>
      <c r="B38" s="281"/>
      <c r="C38" s="70" t="s">
        <v>34</v>
      </c>
      <c r="D38" s="140">
        <v>3000</v>
      </c>
      <c r="E38" s="140"/>
      <c r="F38" s="95">
        <f>F58</f>
        <v>14</v>
      </c>
      <c r="G38" s="95">
        <f>G58</f>
        <v>21</v>
      </c>
      <c r="H38" s="95">
        <f t="shared" si="3"/>
        <v>2979</v>
      </c>
      <c r="I38" s="95">
        <f>I58</f>
        <v>0</v>
      </c>
      <c r="J38" s="271"/>
    </row>
    <row r="39" spans="1:10" ht="17.25" customHeight="1" x14ac:dyDescent="0.25">
      <c r="A39" s="1"/>
      <c r="B39" s="281"/>
      <c r="C39" s="70" t="s">
        <v>35</v>
      </c>
      <c r="D39" s="140">
        <v>7000</v>
      </c>
      <c r="E39" s="140"/>
      <c r="F39" s="95">
        <f>18.02531</f>
        <v>18.025310000000001</v>
      </c>
      <c r="G39" s="95">
        <f>E39</f>
        <v>0</v>
      </c>
      <c r="H39" s="95">
        <f t="shared" si="3"/>
        <v>7000</v>
      </c>
      <c r="I39" s="95">
        <f>E39</f>
        <v>0</v>
      </c>
      <c r="J39" s="271"/>
    </row>
    <row r="40" spans="1:10" ht="17.25" customHeight="1" x14ac:dyDescent="0.25">
      <c r="A40" s="1"/>
      <c r="B40" s="281"/>
      <c r="C40" s="70" t="s">
        <v>37</v>
      </c>
      <c r="D40" s="140">
        <v>450</v>
      </c>
      <c r="E40" s="140"/>
      <c r="F40" s="95">
        <f>4.09728</f>
        <v>4.0972799999999996</v>
      </c>
      <c r="G40" s="95">
        <f>8.097</f>
        <v>8.0969999999999995</v>
      </c>
      <c r="H40" s="95">
        <f t="shared" si="3"/>
        <v>441.90300000000002</v>
      </c>
      <c r="I40" s="95">
        <f>21.57409</f>
        <v>21.574090000000002</v>
      </c>
      <c r="J40" s="271"/>
    </row>
    <row r="41" spans="1:10" ht="14.1" customHeight="1" x14ac:dyDescent="0.25">
      <c r="A41" s="1"/>
      <c r="B41" s="281"/>
      <c r="C41" s="70" t="s">
        <v>38</v>
      </c>
      <c r="D41" s="140"/>
      <c r="E41" s="136"/>
      <c r="F41" s="136">
        <f>1.545</f>
        <v>1.5449999999999999</v>
      </c>
      <c r="G41" s="136">
        <f>12.996</f>
        <v>12.996</v>
      </c>
      <c r="H41" s="136">
        <f t="shared" si="3"/>
        <v>-12.996</v>
      </c>
      <c r="I41" s="136">
        <f>15.315</f>
        <v>15.315</v>
      </c>
      <c r="J41" s="271"/>
    </row>
    <row r="42" spans="1:10" ht="16.5" customHeight="1" x14ac:dyDescent="0.25">
      <c r="A42" s="1"/>
      <c r="B42" s="281"/>
      <c r="C42" s="71" t="s">
        <v>39</v>
      </c>
      <c r="D42" s="73">
        <f>D22+D25+D36+D37+D38+D39+D40+D41</f>
        <v>139827</v>
      </c>
      <c r="E42" s="73">
        <f>E22+E25+E36+E37+E38+E39+E40+E41</f>
        <v>0</v>
      </c>
      <c r="F42" s="73">
        <f t="shared" ref="F42:I42" si="4">F22+F25+F36+F37+F38+F39+F40+F41</f>
        <v>3331.4044699999999</v>
      </c>
      <c r="G42" s="73">
        <f t="shared" si="4"/>
        <v>6981.6121399999993</v>
      </c>
      <c r="H42" s="73">
        <f t="shared" si="4"/>
        <v>132845.38785999996</v>
      </c>
      <c r="I42" s="73">
        <f t="shared" si="4"/>
        <v>5575.8763899999994</v>
      </c>
      <c r="J42" s="271"/>
    </row>
    <row r="43" spans="1:10" ht="14.1" customHeight="1" x14ac:dyDescent="0.25">
      <c r="A43" s="101"/>
      <c r="B43" s="24"/>
      <c r="C43" s="74" t="s">
        <v>140</v>
      </c>
      <c r="D43" s="216"/>
      <c r="E43" s="216"/>
      <c r="F43" s="76"/>
      <c r="G43" s="76"/>
      <c r="H43" s="255"/>
      <c r="I43" s="255"/>
      <c r="J43" s="77"/>
    </row>
    <row r="44" spans="1:10" ht="14.1" customHeight="1" x14ac:dyDescent="0.25">
      <c r="A44" s="101"/>
      <c r="B44" s="24"/>
      <c r="C44" s="78" t="s">
        <v>136</v>
      </c>
      <c r="D44" s="216"/>
      <c r="E44" s="216"/>
      <c r="F44" s="216"/>
      <c r="G44" s="76"/>
      <c r="H44" s="173"/>
      <c r="I44" s="173"/>
      <c r="J44" s="271"/>
    </row>
    <row r="45" spans="1:10" ht="14.1" customHeight="1" x14ac:dyDescent="0.25">
      <c r="A45" s="101"/>
      <c r="B45" s="24"/>
      <c r="C45" s="156" t="s">
        <v>159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141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68"/>
      <c r="C48" s="298"/>
      <c r="D48" s="298"/>
      <c r="E48" s="106"/>
      <c r="F48" s="298"/>
      <c r="G48" s="298"/>
      <c r="H48" s="298"/>
      <c r="I48" s="298"/>
      <c r="J48" s="178"/>
    </row>
    <row r="49" spans="1:10" ht="33" customHeight="1" x14ac:dyDescent="0.25">
      <c r="A49" s="101"/>
      <c r="B49" s="24"/>
      <c r="C49" s="324" t="s">
        <v>138</v>
      </c>
      <c r="D49" s="324"/>
      <c r="E49" s="324"/>
      <c r="F49" s="324"/>
      <c r="G49" s="324"/>
      <c r="H49" s="324"/>
      <c r="I49" s="80"/>
      <c r="J49" s="81"/>
    </row>
    <row r="50" spans="1:10" ht="15.9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41</v>
      </c>
      <c r="E51" s="68" t="s">
        <v>117</v>
      </c>
      <c r="F51" s="68" t="s">
        <v>160</v>
      </c>
      <c r="G51" s="68" t="s">
        <v>161</v>
      </c>
      <c r="H51" s="68" t="s">
        <v>162</v>
      </c>
      <c r="I51" s="68" t="s">
        <v>163</v>
      </c>
      <c r="J51" s="271"/>
    </row>
    <row r="52" spans="1:10" ht="14.1" customHeight="1" x14ac:dyDescent="0.25">
      <c r="A52" s="101"/>
      <c r="B52" s="24"/>
      <c r="C52" s="15" t="s">
        <v>42</v>
      </c>
      <c r="D52" s="325">
        <v>7085</v>
      </c>
      <c r="E52" s="325"/>
      <c r="F52" s="10">
        <f>F56+F55+F54+F53</f>
        <v>0</v>
      </c>
      <c r="G52" s="10">
        <f>G56+G55+G54+G53</f>
        <v>0</v>
      </c>
      <c r="H52" s="325">
        <f>D52-G52</f>
        <v>7085</v>
      </c>
      <c r="I52" s="10">
        <f>I56+I55+I54+I53</f>
        <v>0</v>
      </c>
      <c r="J52" s="117"/>
    </row>
    <row r="53" spans="1:10" ht="14.1" customHeight="1" x14ac:dyDescent="0.25">
      <c r="A53" s="101"/>
      <c r="B53" s="24"/>
      <c r="C53" s="60" t="s">
        <v>24</v>
      </c>
      <c r="D53" s="326"/>
      <c r="E53" s="326"/>
      <c r="F53" s="123"/>
      <c r="G53" s="123"/>
      <c r="H53" s="326"/>
      <c r="I53" s="123"/>
      <c r="J53" s="117"/>
    </row>
    <row r="54" spans="1:10" ht="14.1" customHeight="1" x14ac:dyDescent="0.25">
      <c r="A54" s="101"/>
      <c r="B54" s="24"/>
      <c r="C54" s="60" t="s">
        <v>25</v>
      </c>
      <c r="D54" s="326"/>
      <c r="E54" s="326"/>
      <c r="F54" s="123"/>
      <c r="G54" s="123"/>
      <c r="H54" s="326"/>
      <c r="I54" s="123"/>
      <c r="J54" s="271"/>
    </row>
    <row r="55" spans="1:10" ht="14.1" customHeight="1" x14ac:dyDescent="0.25">
      <c r="A55" s="101"/>
      <c r="B55" s="24"/>
      <c r="C55" s="60" t="s">
        <v>26</v>
      </c>
      <c r="D55" s="326"/>
      <c r="E55" s="326"/>
      <c r="F55" s="123"/>
      <c r="G55" s="123"/>
      <c r="H55" s="326"/>
      <c r="I55" s="123"/>
      <c r="J55" s="117"/>
    </row>
    <row r="56" spans="1:10" ht="14.1" customHeight="1" x14ac:dyDescent="0.25">
      <c r="A56" s="101"/>
      <c r="B56" s="24"/>
      <c r="C56" s="84" t="s">
        <v>27</v>
      </c>
      <c r="D56" s="327"/>
      <c r="E56" s="327"/>
      <c r="F56" s="186"/>
      <c r="G56" s="186"/>
      <c r="H56" s="327"/>
      <c r="I56" s="186"/>
      <c r="J56" s="117"/>
    </row>
    <row r="57" spans="1:10" ht="14.1" customHeight="1" x14ac:dyDescent="0.25">
      <c r="A57" s="101"/>
      <c r="B57" s="24"/>
      <c r="C57" s="85" t="s">
        <v>43</v>
      </c>
      <c r="D57" s="92">
        <v>865</v>
      </c>
      <c r="E57" s="92"/>
      <c r="F57" s="92"/>
      <c r="G57" s="92"/>
      <c r="H57" s="92">
        <f>D57-G57</f>
        <v>865</v>
      </c>
      <c r="I57" s="92"/>
      <c r="J57" s="271"/>
    </row>
    <row r="58" spans="1:10" ht="14.1" customHeight="1" x14ac:dyDescent="0.25">
      <c r="A58" s="101"/>
      <c r="B58" s="24"/>
      <c r="C58" s="139" t="s">
        <v>44</v>
      </c>
      <c r="D58" s="136">
        <v>3000</v>
      </c>
      <c r="E58" s="136"/>
      <c r="F58" s="136">
        <v>14</v>
      </c>
      <c r="G58" s="136">
        <v>21</v>
      </c>
      <c r="H58" s="136">
        <f>D58-G58</f>
        <v>2979</v>
      </c>
      <c r="I58" s="136"/>
      <c r="J58" s="117"/>
    </row>
    <row r="59" spans="1:10" ht="14.1" customHeight="1" x14ac:dyDescent="0.25">
      <c r="A59" s="101"/>
      <c r="B59" s="24"/>
      <c r="C59" s="74" t="s">
        <v>142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313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33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328" t="s">
        <v>1</v>
      </c>
      <c r="D68" s="329"/>
      <c r="E68" s="328" t="s">
        <v>2</v>
      </c>
      <c r="F68" s="330"/>
      <c r="G68" s="328" t="s">
        <v>3</v>
      </c>
      <c r="H68" s="329"/>
      <c r="I68" s="173"/>
      <c r="J68" s="271"/>
    </row>
    <row r="69" spans="1:10" ht="15" customHeight="1" x14ac:dyDescent="0.25">
      <c r="B69" s="281"/>
      <c r="C69" s="110" t="s">
        <v>123</v>
      </c>
      <c r="D69" s="114">
        <v>76345</v>
      </c>
      <c r="E69" s="285" t="s">
        <v>4</v>
      </c>
      <c r="F69" s="109">
        <v>28395</v>
      </c>
      <c r="G69" s="185" t="s">
        <v>5</v>
      </c>
      <c r="H69" s="109">
        <v>8339</v>
      </c>
      <c r="I69" s="173"/>
      <c r="J69" s="271"/>
    </row>
    <row r="70" spans="1:10" ht="15" customHeight="1" x14ac:dyDescent="0.25">
      <c r="B70" s="281"/>
      <c r="C70" s="110" t="s">
        <v>9</v>
      </c>
      <c r="D70" s="114">
        <v>67345</v>
      </c>
      <c r="E70" s="275" t="s">
        <v>7</v>
      </c>
      <c r="F70" s="114">
        <v>46328</v>
      </c>
      <c r="G70" s="185" t="s">
        <v>8</v>
      </c>
      <c r="H70" s="114">
        <v>34283</v>
      </c>
      <c r="I70" s="173"/>
      <c r="J70" s="271"/>
    </row>
    <row r="71" spans="1:10" ht="14.1" customHeight="1" x14ac:dyDescent="0.25">
      <c r="B71" s="281"/>
      <c r="C71" s="110" t="s">
        <v>69</v>
      </c>
      <c r="D71" s="114">
        <v>9603</v>
      </c>
      <c r="E71" s="110" t="s">
        <v>10</v>
      </c>
      <c r="F71" s="114">
        <v>1622</v>
      </c>
      <c r="G71" s="185" t="s">
        <v>11</v>
      </c>
      <c r="H71" s="114">
        <v>3706</v>
      </c>
      <c r="I71" s="173"/>
      <c r="J71" s="271"/>
    </row>
    <row r="72" spans="1:10" ht="12" customHeight="1" x14ac:dyDescent="0.25">
      <c r="B72" s="281"/>
      <c r="C72" s="172" t="s">
        <v>46</v>
      </c>
      <c r="D72" s="184">
        <f>SUM(D69:D71)</f>
        <v>153293</v>
      </c>
      <c r="E72" s="172" t="s">
        <v>14</v>
      </c>
      <c r="F72" s="184">
        <f>SUM(F69:F71)</f>
        <v>76345</v>
      </c>
      <c r="G72" s="172" t="s">
        <v>7</v>
      </c>
      <c r="H72" s="184">
        <f>SUM(H69:H71)</f>
        <v>46328</v>
      </c>
      <c r="I72" s="173"/>
      <c r="J72" s="271"/>
    </row>
    <row r="73" spans="1:10" ht="14.25" customHeight="1" x14ac:dyDescent="0.25">
      <c r="A73" s="1"/>
      <c r="B73" s="281"/>
      <c r="C73" s="101"/>
      <c r="D73" s="243"/>
      <c r="E73" s="243"/>
      <c r="F73" s="243"/>
      <c r="G73" s="243"/>
      <c r="H73" s="243"/>
      <c r="I73" s="263"/>
      <c r="J73" s="117"/>
    </row>
    <row r="74" spans="1:10" ht="6" customHeight="1" x14ac:dyDescent="0.25">
      <c r="A74" s="1"/>
      <c r="B74" s="281"/>
      <c r="C74" s="93"/>
      <c r="D74" s="93"/>
      <c r="E74" s="93"/>
      <c r="F74" s="93"/>
      <c r="G74" s="93"/>
      <c r="H74" s="93"/>
      <c r="I74" s="263"/>
      <c r="J74" s="117"/>
    </row>
    <row r="75" spans="1:10" ht="14.1" customHeight="1" x14ac:dyDescent="0.25">
      <c r="A75" s="1"/>
      <c r="B75" s="135"/>
      <c r="C75" s="298"/>
      <c r="D75" s="106"/>
      <c r="E75" s="298"/>
      <c r="F75" s="298"/>
      <c r="G75" s="298"/>
      <c r="H75" s="298"/>
      <c r="I75" s="287"/>
      <c r="J75" s="178"/>
    </row>
    <row r="76" spans="1:10" ht="20.25" customHeight="1" x14ac:dyDescent="0.25">
      <c r="A76" s="1"/>
      <c r="B76" s="281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81"/>
      <c r="C77" s="315"/>
      <c r="D77" s="315"/>
      <c r="E77" s="315"/>
      <c r="F77" s="315"/>
      <c r="G77" s="315"/>
      <c r="H77" s="315"/>
      <c r="I77" s="315"/>
      <c r="J77" s="18"/>
    </row>
    <row r="78" spans="1:10" ht="54" customHeight="1" x14ac:dyDescent="0.25">
      <c r="A78" s="1"/>
      <c r="B78" s="281"/>
      <c r="C78" s="14" t="s">
        <v>16</v>
      </c>
      <c r="D78" s="113" t="s">
        <v>17</v>
      </c>
      <c r="E78" s="14" t="s">
        <v>47</v>
      </c>
      <c r="F78" s="14" t="s">
        <v>160</v>
      </c>
      <c r="G78" s="14" t="s">
        <v>161</v>
      </c>
      <c r="H78" s="14" t="s">
        <v>162</v>
      </c>
      <c r="I78" s="14" t="s">
        <v>163</v>
      </c>
      <c r="J78" s="117"/>
    </row>
    <row r="79" spans="1:10" ht="14.1" customHeight="1" x14ac:dyDescent="0.25">
      <c r="A79" s="1"/>
      <c r="B79" s="281"/>
      <c r="C79" s="31" t="s">
        <v>19</v>
      </c>
      <c r="D79" s="27">
        <f>D80+D81</f>
        <v>28395</v>
      </c>
      <c r="E79" s="27">
        <f>E81+E80</f>
        <v>0</v>
      </c>
      <c r="F79" s="10">
        <f t="shared" ref="F79:I79" si="5">F81+F80</f>
        <v>188.10679999999999</v>
      </c>
      <c r="G79" s="10">
        <f t="shared" si="5"/>
        <v>333.43257999999997</v>
      </c>
      <c r="H79" s="10">
        <f t="shared" si="5"/>
        <v>28061.567419999999</v>
      </c>
      <c r="I79" s="10">
        <f t="shared" si="5"/>
        <v>372.56615999999997</v>
      </c>
      <c r="J79" s="271"/>
    </row>
    <row r="80" spans="1:10" ht="15" customHeight="1" x14ac:dyDescent="0.25">
      <c r="A80" s="1"/>
      <c r="B80" s="281"/>
      <c r="C80" s="43" t="s">
        <v>20</v>
      </c>
      <c r="D80" s="44">
        <v>27645</v>
      </c>
      <c r="E80" s="44"/>
      <c r="F80" s="22">
        <f>188.1068</f>
        <v>188.10679999999999</v>
      </c>
      <c r="G80" s="22">
        <f>333.43258</f>
        <v>333.43257999999997</v>
      </c>
      <c r="H80" s="22">
        <f>D80-G80</f>
        <v>27311.567419999999</v>
      </c>
      <c r="I80" s="22">
        <f>371.74996</f>
        <v>371.74995999999999</v>
      </c>
      <c r="J80" s="271"/>
    </row>
    <row r="81" spans="1:10" ht="14.1" customHeight="1" x14ac:dyDescent="0.25">
      <c r="A81" s="1"/>
      <c r="B81" s="281"/>
      <c r="C81" s="62" t="s">
        <v>21</v>
      </c>
      <c r="D81" s="218">
        <v>750</v>
      </c>
      <c r="E81" s="218"/>
      <c r="F81" s="48">
        <f>0</f>
        <v>0</v>
      </c>
      <c r="G81" s="48">
        <f>0</f>
        <v>0</v>
      </c>
      <c r="H81" s="48">
        <f>D81-G81</f>
        <v>750</v>
      </c>
      <c r="I81" s="48">
        <f>0.8162</f>
        <v>0.81620000000000004</v>
      </c>
      <c r="J81" s="271"/>
    </row>
    <row r="82" spans="1:10" ht="15.75" customHeight="1" x14ac:dyDescent="0.25">
      <c r="A82" s="1"/>
      <c r="B82" s="50"/>
      <c r="C82" s="15" t="s">
        <v>22</v>
      </c>
      <c r="D82" s="27">
        <f>D83+D88+D89</f>
        <v>47281</v>
      </c>
      <c r="E82" s="27">
        <f>E83+E88+E89</f>
        <v>0</v>
      </c>
      <c r="F82" s="10">
        <f t="shared" ref="F82:I82" si="6">F83+F88+F89</f>
        <v>732.42837000000009</v>
      </c>
      <c r="G82" s="10">
        <f t="shared" si="6"/>
        <v>1609.3204800000003</v>
      </c>
      <c r="H82" s="10">
        <f>H83+H88+H89</f>
        <v>45671.679519999998</v>
      </c>
      <c r="I82" s="10">
        <f t="shared" si="6"/>
        <v>1611.5358800000001</v>
      </c>
      <c r="J82" s="271"/>
    </row>
    <row r="83" spans="1:10" ht="14.1" customHeight="1" x14ac:dyDescent="0.25">
      <c r="A83" s="1"/>
      <c r="B83" s="51"/>
      <c r="C83" s="54" t="s">
        <v>23</v>
      </c>
      <c r="D83" s="55">
        <f>D84+D85+D86+D87</f>
        <v>35236</v>
      </c>
      <c r="E83" s="55">
        <f>E87+E86+E85+E84</f>
        <v>0</v>
      </c>
      <c r="F83" s="129">
        <f t="shared" ref="F83:I83" si="7">F84+F85+F86+F87</f>
        <v>531.79313000000002</v>
      </c>
      <c r="G83" s="129">
        <f t="shared" si="7"/>
        <v>1236.0366200000003</v>
      </c>
      <c r="H83" s="129">
        <f t="shared" si="7"/>
        <v>33999.963380000001</v>
      </c>
      <c r="I83" s="129">
        <f t="shared" si="7"/>
        <v>1214.7631600000002</v>
      </c>
      <c r="J83" s="271"/>
    </row>
    <row r="84" spans="1:10" ht="14.1" customHeight="1" x14ac:dyDescent="0.25">
      <c r="A84" s="192"/>
      <c r="B84" s="176"/>
      <c r="C84" s="60" t="s">
        <v>24</v>
      </c>
      <c r="D84" s="61">
        <v>9425</v>
      </c>
      <c r="E84" s="61"/>
      <c r="F84" s="123">
        <f>288.09155</f>
        <v>288.09154999999998</v>
      </c>
      <c r="G84" s="123">
        <f>653.42069</f>
        <v>653.42069000000004</v>
      </c>
      <c r="H84" s="123">
        <f t="shared" ref="H84:H93" si="8">D84-G84</f>
        <v>8771.5793099999992</v>
      </c>
      <c r="I84" s="123">
        <f>656.22792</f>
        <v>656.22792000000004</v>
      </c>
      <c r="J84" s="271"/>
    </row>
    <row r="85" spans="1:10" ht="14.1" customHeight="1" x14ac:dyDescent="0.25">
      <c r="A85" s="192"/>
      <c r="B85" s="176"/>
      <c r="C85" s="60" t="s">
        <v>48</v>
      </c>
      <c r="D85" s="61">
        <v>9801</v>
      </c>
      <c r="E85" s="61"/>
      <c r="F85" s="123">
        <f>129.98283</f>
        <v>129.98283000000001</v>
      </c>
      <c r="G85" s="123">
        <f>396.39393</f>
        <v>396.39393000000001</v>
      </c>
      <c r="H85" s="123">
        <f t="shared" si="8"/>
        <v>9404.6060699999998</v>
      </c>
      <c r="I85" s="123">
        <f>384.50535</f>
        <v>384.50535000000002</v>
      </c>
      <c r="J85" s="271"/>
    </row>
    <row r="86" spans="1:10" ht="14.1" customHeight="1" x14ac:dyDescent="0.25">
      <c r="A86" s="192"/>
      <c r="B86" s="176"/>
      <c r="C86" s="60" t="s">
        <v>49</v>
      </c>
      <c r="D86" s="61">
        <v>9599</v>
      </c>
      <c r="E86" s="61"/>
      <c r="F86" s="123">
        <f>38.37499</f>
        <v>38.374989999999997</v>
      </c>
      <c r="G86" s="123">
        <f>86.63306</f>
        <v>86.63306</v>
      </c>
      <c r="H86" s="123">
        <f t="shared" si="8"/>
        <v>9512.3669399999999</v>
      </c>
      <c r="I86" s="123">
        <f>103.24296</f>
        <v>103.24296</v>
      </c>
      <c r="J86" s="271"/>
    </row>
    <row r="87" spans="1:10" ht="14.1" customHeight="1" x14ac:dyDescent="0.25">
      <c r="A87" s="192"/>
      <c r="B87" s="176"/>
      <c r="C87" s="60" t="s">
        <v>27</v>
      </c>
      <c r="D87" s="61">
        <v>6411</v>
      </c>
      <c r="E87" s="61"/>
      <c r="F87" s="123">
        <f>75.34376</f>
        <v>75.343760000000003</v>
      </c>
      <c r="G87" s="123">
        <f>99.58894</f>
        <v>99.588939999999994</v>
      </c>
      <c r="H87" s="123">
        <f t="shared" si="8"/>
        <v>6311.4110600000004</v>
      </c>
      <c r="I87" s="123">
        <f>70.78693</f>
        <v>70.786929999999998</v>
      </c>
      <c r="J87" s="271"/>
    </row>
    <row r="88" spans="1:10" ht="14.1" customHeight="1" x14ac:dyDescent="0.25">
      <c r="A88" s="192"/>
      <c r="B88" s="176"/>
      <c r="C88" s="54" t="s">
        <v>50</v>
      </c>
      <c r="D88" s="55">
        <v>8339</v>
      </c>
      <c r="E88" s="55"/>
      <c r="F88" s="129">
        <f>78.29654</f>
        <v>78.296539999999993</v>
      </c>
      <c r="G88" s="129">
        <f>98.76174</f>
        <v>98.761740000000003</v>
      </c>
      <c r="H88" s="129">
        <f t="shared" si="8"/>
        <v>8240.2382600000001</v>
      </c>
      <c r="I88" s="129">
        <f>147.91061</f>
        <v>147.91060999999999</v>
      </c>
      <c r="J88" s="271"/>
    </row>
    <row r="89" spans="1:10" ht="15.75" customHeight="1" x14ac:dyDescent="0.25">
      <c r="A89" s="1"/>
      <c r="B89" s="51"/>
      <c r="C89" s="37" t="s">
        <v>11</v>
      </c>
      <c r="D89" s="59">
        <v>3706</v>
      </c>
      <c r="E89" s="59"/>
      <c r="F89" s="72">
        <f>122.3387</f>
        <v>122.3387</v>
      </c>
      <c r="G89" s="72">
        <f>274.52212</f>
        <v>274.52211999999997</v>
      </c>
      <c r="H89" s="72">
        <f t="shared" si="8"/>
        <v>3431.4778799999999</v>
      </c>
      <c r="I89" s="72">
        <f>248.86211</f>
        <v>248.86211</v>
      </c>
      <c r="J89" s="271"/>
    </row>
    <row r="90" spans="1:10" ht="15.75" customHeight="1" x14ac:dyDescent="0.25">
      <c r="A90" s="1"/>
      <c r="B90" s="51"/>
      <c r="C90" s="70" t="s">
        <v>33</v>
      </c>
      <c r="D90" s="86">
        <v>319</v>
      </c>
      <c r="E90" s="86"/>
      <c r="F90" s="95">
        <f>0</f>
        <v>0</v>
      </c>
      <c r="G90" s="95">
        <f>2.42184</f>
        <v>2.42184</v>
      </c>
      <c r="H90" s="95">
        <f t="shared" si="8"/>
        <v>316.57816000000003</v>
      </c>
      <c r="I90" s="95">
        <f>0.29864</f>
        <v>0.29864000000000002</v>
      </c>
      <c r="J90" s="271"/>
    </row>
    <row r="91" spans="1:10" ht="18" customHeight="1" x14ac:dyDescent="0.25">
      <c r="A91" s="1"/>
      <c r="B91" s="281"/>
      <c r="C91" s="70" t="s">
        <v>51</v>
      </c>
      <c r="D91" s="140">
        <v>300</v>
      </c>
      <c r="E91" s="140"/>
      <c r="F91" s="136">
        <f>1.4089</f>
        <v>1.4089</v>
      </c>
      <c r="G91" s="136">
        <f>E91</f>
        <v>0</v>
      </c>
      <c r="H91" s="136">
        <f t="shared" si="8"/>
        <v>300</v>
      </c>
      <c r="I91" s="136">
        <f>E91</f>
        <v>0</v>
      </c>
      <c r="J91" s="271"/>
    </row>
    <row r="92" spans="1:10" ht="16.5" customHeight="1" x14ac:dyDescent="0.25">
      <c r="A92" s="1"/>
      <c r="B92" s="281"/>
      <c r="C92" s="89" t="s">
        <v>37</v>
      </c>
      <c r="D92" s="140">
        <v>50</v>
      </c>
      <c r="E92" s="140"/>
      <c r="F92" s="95">
        <f>0.33902</f>
        <v>0.33901999999999999</v>
      </c>
      <c r="G92" s="95">
        <f>0.63656</f>
        <v>0.63656000000000001</v>
      </c>
      <c r="H92" s="136">
        <f t="shared" si="8"/>
        <v>49.363439999999997</v>
      </c>
      <c r="I92" s="95">
        <f>6.4148</f>
        <v>6.4147999999999996</v>
      </c>
      <c r="J92" s="271"/>
    </row>
    <row r="93" spans="1:10" ht="18" customHeight="1" x14ac:dyDescent="0.25">
      <c r="A93" s="1"/>
      <c r="B93" s="281"/>
      <c r="C93" s="89" t="s">
        <v>52</v>
      </c>
      <c r="D93" s="140"/>
      <c r="E93" s="136"/>
      <c r="F93" s="136">
        <f>0</f>
        <v>0</v>
      </c>
      <c r="G93" s="136">
        <f>0.015</f>
        <v>1.4999999999999999E-2</v>
      </c>
      <c r="H93" s="136">
        <f t="shared" si="8"/>
        <v>-1.4999999999999999E-2</v>
      </c>
      <c r="I93" s="136">
        <f>0.46</f>
        <v>0.46</v>
      </c>
      <c r="J93" s="271"/>
    </row>
    <row r="94" spans="1:10" ht="16.5" customHeight="1" x14ac:dyDescent="0.25">
      <c r="A94" s="1"/>
      <c r="B94" s="281"/>
      <c r="C94" s="71" t="s">
        <v>39</v>
      </c>
      <c r="D94" s="73">
        <f>D79+D82+D90+D91+D92+D93</f>
        <v>76345</v>
      </c>
      <c r="E94" s="73">
        <f t="shared" ref="E94" si="9">E79+E82+E90+E91+E92+E93</f>
        <v>0</v>
      </c>
      <c r="F94" s="73">
        <f t="shared" ref="F94:I94" si="10">F79+F82+F90+F91+F92+F93</f>
        <v>922.28309000000013</v>
      </c>
      <c r="G94" s="73">
        <f t="shared" si="10"/>
        <v>1945.8264600000002</v>
      </c>
      <c r="H94" s="73">
        <f t="shared" si="10"/>
        <v>74399.173540000003</v>
      </c>
      <c r="I94" s="73">
        <f t="shared" si="10"/>
        <v>1991.2754800000002</v>
      </c>
      <c r="J94" s="271"/>
    </row>
    <row r="95" spans="1:10" ht="13.5" customHeight="1" x14ac:dyDescent="0.25">
      <c r="A95" s="1"/>
      <c r="B95" s="281"/>
      <c r="C95" s="74" t="s">
        <v>143</v>
      </c>
      <c r="D95" s="97"/>
      <c r="E95" s="97"/>
      <c r="F95" s="98"/>
      <c r="G95" s="98"/>
      <c r="H95" s="100"/>
      <c r="I95" s="255"/>
      <c r="J95" s="271"/>
    </row>
    <row r="96" spans="1:10" ht="13.5" customHeight="1" x14ac:dyDescent="0.25">
      <c r="A96" s="1"/>
      <c r="B96" s="24"/>
      <c r="C96" s="156" t="s">
        <v>157</v>
      </c>
      <c r="D96" s="216"/>
      <c r="E96" s="216"/>
      <c r="F96" s="76"/>
      <c r="G96" s="76"/>
      <c r="H96" s="255"/>
      <c r="I96" s="255"/>
      <c r="J96" s="102"/>
    </row>
    <row r="97" spans="1:10" ht="15" customHeight="1" x14ac:dyDescent="0.25">
      <c r="A97" s="1"/>
      <c r="B97" s="24"/>
      <c r="C97" s="156" t="s">
        <v>144</v>
      </c>
      <c r="D97" s="216"/>
      <c r="E97" s="216"/>
      <c r="F97" s="76"/>
      <c r="G97" s="76"/>
      <c r="H97" s="255"/>
      <c r="I97" s="255"/>
      <c r="J97" s="102"/>
    </row>
    <row r="98" spans="1:10" ht="15" customHeight="1" x14ac:dyDescent="0.25">
      <c r="A98" s="1"/>
      <c r="B98" s="24"/>
      <c r="C98" s="255" t="s">
        <v>53</v>
      </c>
      <c r="D98" s="216"/>
      <c r="E98" s="216"/>
      <c r="F98" s="76"/>
      <c r="G98" s="76"/>
      <c r="H98" s="255"/>
      <c r="I98" s="255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108</v>
      </c>
      <c r="D100" s="255"/>
      <c r="E100" s="255"/>
      <c r="F100" s="255"/>
      <c r="G100" s="255"/>
      <c r="H100" s="255"/>
      <c r="I100" s="101"/>
      <c r="J100" s="101" t="s">
        <v>108</v>
      </c>
    </row>
    <row r="101" spans="1:10" ht="14.25" customHeight="1" x14ac:dyDescent="0.25">
      <c r="A101" s="1"/>
      <c r="B101" s="101"/>
      <c r="C101" s="101" t="s">
        <v>108</v>
      </c>
      <c r="D101" s="101" t="s">
        <v>108</v>
      </c>
      <c r="E101" s="101"/>
      <c r="F101" s="101"/>
      <c r="G101" s="101"/>
      <c r="H101" s="101"/>
      <c r="I101" s="101"/>
      <c r="J101" s="101" t="s">
        <v>108</v>
      </c>
    </row>
    <row r="102" spans="1:10" ht="17.100000000000001" customHeight="1" x14ac:dyDescent="0.2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2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71"/>
    </row>
    <row r="106" spans="1:10" ht="14.1" customHeight="1" x14ac:dyDescent="0.25">
      <c r="A106" s="1"/>
      <c r="B106" s="281"/>
      <c r="C106" s="110" t="s">
        <v>6</v>
      </c>
      <c r="D106" s="109">
        <v>150770</v>
      </c>
      <c r="E106" s="96" t="s">
        <v>4</v>
      </c>
      <c r="F106" s="109">
        <v>54246</v>
      </c>
      <c r="G106" s="110" t="s">
        <v>5</v>
      </c>
      <c r="H106" s="109">
        <v>6128</v>
      </c>
      <c r="I106" s="173"/>
      <c r="J106" s="271"/>
    </row>
    <row r="107" spans="1:10" ht="14.1" customHeight="1" x14ac:dyDescent="0.25">
      <c r="A107" s="1"/>
      <c r="B107" s="281"/>
      <c r="C107" s="110" t="s">
        <v>9</v>
      </c>
      <c r="D107" s="114">
        <v>12100</v>
      </c>
      <c r="E107" s="110" t="s">
        <v>7</v>
      </c>
      <c r="F107" s="114">
        <v>55713</v>
      </c>
      <c r="G107" s="110" t="s">
        <v>8</v>
      </c>
      <c r="H107" s="114">
        <v>41785</v>
      </c>
      <c r="I107" s="173"/>
      <c r="J107" s="271"/>
    </row>
    <row r="108" spans="1:10" ht="14.1" customHeight="1" x14ac:dyDescent="0.25">
      <c r="A108" s="1"/>
      <c r="B108" s="281"/>
      <c r="C108" s="275" t="s">
        <v>55</v>
      </c>
      <c r="D108" s="114">
        <v>1279</v>
      </c>
      <c r="E108" s="110" t="s">
        <v>56</v>
      </c>
      <c r="F108" s="114">
        <v>36653</v>
      </c>
      <c r="G108" s="110" t="s">
        <v>11</v>
      </c>
      <c r="H108" s="114">
        <v>7800</v>
      </c>
      <c r="I108" s="173"/>
      <c r="J108" s="271"/>
    </row>
    <row r="109" spans="1:10" ht="14.1" customHeight="1" x14ac:dyDescent="0.25">
      <c r="A109" s="1"/>
      <c r="B109" s="149"/>
      <c r="C109" s="161"/>
      <c r="D109" s="185"/>
      <c r="E109" s="185" t="s">
        <v>145</v>
      </c>
      <c r="F109" s="114">
        <v>4158</v>
      </c>
      <c r="G109" s="110"/>
      <c r="H109" s="161"/>
      <c r="I109" s="173"/>
      <c r="J109" s="271"/>
    </row>
    <row r="110" spans="1:10" ht="12" customHeight="1" x14ac:dyDescent="0.25">
      <c r="A110" s="1"/>
      <c r="B110" s="281"/>
      <c r="C110" s="172" t="s">
        <v>46</v>
      </c>
      <c r="D110" s="206">
        <v>164149</v>
      </c>
      <c r="E110" s="112" t="s">
        <v>14</v>
      </c>
      <c r="F110" s="184">
        <v>150770</v>
      </c>
      <c r="G110" s="172" t="s">
        <v>7</v>
      </c>
      <c r="H110" s="184">
        <v>55713</v>
      </c>
      <c r="I110" s="173"/>
      <c r="J110" s="271"/>
    </row>
    <row r="111" spans="1:10" ht="12" customHeight="1" x14ac:dyDescent="0.25">
      <c r="A111" s="101"/>
      <c r="B111" s="24"/>
      <c r="C111" s="101" t="s">
        <v>146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68"/>
      <c r="C112" s="298"/>
      <c r="D112" s="298"/>
      <c r="E112" s="260"/>
      <c r="F112" s="260"/>
      <c r="G112" s="260"/>
      <c r="H112" s="260"/>
      <c r="I112" s="260"/>
      <c r="J112" s="272"/>
    </row>
    <row r="113" spans="1:10" ht="25.5" customHeight="1" x14ac:dyDescent="0.25">
      <c r="A113" s="1"/>
      <c r="B113" s="281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90" t="s">
        <v>16</v>
      </c>
      <c r="D114" s="14" t="s">
        <v>17</v>
      </c>
      <c r="E114" s="14" t="s">
        <v>57</v>
      </c>
      <c r="F114" s="14" t="s">
        <v>160</v>
      </c>
      <c r="G114" s="14" t="s">
        <v>161</v>
      </c>
      <c r="H114" s="14" t="s">
        <v>162</v>
      </c>
      <c r="I114" s="14" t="s">
        <v>163</v>
      </c>
      <c r="J114" s="305"/>
    </row>
    <row r="115" spans="1:10" ht="14.1" customHeight="1" x14ac:dyDescent="0.25">
      <c r="A115" s="1"/>
      <c r="B115" s="281"/>
      <c r="C115" s="15" t="s">
        <v>58</v>
      </c>
      <c r="D115" s="27">
        <f>D116+D117+D118</f>
        <v>54246</v>
      </c>
      <c r="E115" s="27">
        <f>E116+E117+E118</f>
        <v>0</v>
      </c>
      <c r="F115" s="10">
        <f t="shared" ref="F115:I115" si="11">F116+F117+F118</f>
        <v>92.395150000000001</v>
      </c>
      <c r="G115" s="10">
        <f t="shared" si="11"/>
        <v>259.56527</v>
      </c>
      <c r="H115" s="10">
        <f t="shared" si="11"/>
        <v>53986.434729999994</v>
      </c>
      <c r="I115" s="10">
        <f t="shared" si="11"/>
        <v>708.71877999999992</v>
      </c>
      <c r="J115" s="271"/>
    </row>
    <row r="116" spans="1:10" ht="14.1" customHeight="1" x14ac:dyDescent="0.25">
      <c r="A116" s="1"/>
      <c r="B116" s="281"/>
      <c r="C116" s="43" t="s">
        <v>20</v>
      </c>
      <c r="D116" s="44">
        <v>43397</v>
      </c>
      <c r="E116" s="44"/>
      <c r="F116" s="22">
        <f>67.67415</f>
        <v>67.674149999999997</v>
      </c>
      <c r="G116" s="22">
        <f>234.28227</f>
        <v>234.28227000000001</v>
      </c>
      <c r="H116" s="22">
        <f>D116-G116</f>
        <v>43162.717729999997</v>
      </c>
      <c r="I116" s="22">
        <f>687.75928</f>
        <v>687.75927999999999</v>
      </c>
      <c r="J116" s="271"/>
    </row>
    <row r="117" spans="1:10" ht="15" customHeight="1" x14ac:dyDescent="0.25">
      <c r="A117" s="1"/>
      <c r="B117" s="281"/>
      <c r="C117" s="43" t="s">
        <v>21</v>
      </c>
      <c r="D117" s="44">
        <v>10349</v>
      </c>
      <c r="E117" s="44"/>
      <c r="F117" s="22">
        <f>0</f>
        <v>0</v>
      </c>
      <c r="G117" s="22">
        <f>0</f>
        <v>0</v>
      </c>
      <c r="H117" s="22">
        <f>D117-G117</f>
        <v>10349</v>
      </c>
      <c r="I117" s="22">
        <f>3.2265</f>
        <v>3.2265000000000001</v>
      </c>
      <c r="J117" s="271"/>
    </row>
    <row r="118" spans="1:10" ht="13.5" customHeight="1" x14ac:dyDescent="0.25">
      <c r="A118" s="1"/>
      <c r="B118" s="281"/>
      <c r="C118" s="47" t="s">
        <v>59</v>
      </c>
      <c r="D118" s="32">
        <v>500</v>
      </c>
      <c r="E118" s="32"/>
      <c r="F118" s="22">
        <f>24.721</f>
        <v>24.721</v>
      </c>
      <c r="G118" s="22">
        <f>25.283</f>
        <v>25.283000000000001</v>
      </c>
      <c r="H118" s="53">
        <f>D118-G118</f>
        <v>474.71699999999998</v>
      </c>
      <c r="I118" s="22">
        <f>17.733</f>
        <v>17.733000000000001</v>
      </c>
      <c r="J118" s="271"/>
    </row>
    <row r="119" spans="1:10" ht="14.25" customHeight="1" x14ac:dyDescent="0.25">
      <c r="A119" s="65"/>
      <c r="B119" s="75"/>
      <c r="C119" s="85" t="s">
        <v>60</v>
      </c>
      <c r="D119" s="87">
        <v>36653</v>
      </c>
      <c r="E119" s="87"/>
      <c r="F119" s="92">
        <f>28.793</f>
        <v>28.792999999999999</v>
      </c>
      <c r="G119" s="92">
        <f>90.91</f>
        <v>90.91</v>
      </c>
      <c r="H119" s="92">
        <f>D119-G119</f>
        <v>36562.089999999997</v>
      </c>
      <c r="I119" s="92">
        <f>22.807</f>
        <v>22.806999999999999</v>
      </c>
      <c r="J119" s="111"/>
    </row>
    <row r="120" spans="1:10" ht="15.75" customHeight="1" x14ac:dyDescent="0.25">
      <c r="A120" s="1"/>
      <c r="B120" s="281"/>
      <c r="C120" s="139" t="s">
        <v>22</v>
      </c>
      <c r="D120" s="140">
        <f>D121+D126+D129</f>
        <v>59816</v>
      </c>
      <c r="E120" s="140">
        <f>E121+E126+E129</f>
        <v>0</v>
      </c>
      <c r="F120" s="91">
        <f>F121+F126+F129</f>
        <v>1832.6230699999999</v>
      </c>
      <c r="G120" s="91">
        <f t="shared" ref="G120" si="12">G121+G126+G129</f>
        <v>4908.68451</v>
      </c>
      <c r="H120" s="91">
        <f>H121+H126+H129</f>
        <v>54907.315489999994</v>
      </c>
      <c r="I120" s="91">
        <f>I121+I126+I129</f>
        <v>7288.4575999999997</v>
      </c>
      <c r="J120" s="117"/>
    </row>
    <row r="121" spans="1:10" ht="14.1" customHeight="1" x14ac:dyDescent="0.25">
      <c r="A121" s="1"/>
      <c r="B121" s="50"/>
      <c r="C121" s="118" t="s">
        <v>61</v>
      </c>
      <c r="D121" s="119">
        <f>D122+D123+D124+D125</f>
        <v>43182</v>
      </c>
      <c r="E121" s="119">
        <f>E122+E123+E124+E125</f>
        <v>0</v>
      </c>
      <c r="F121" s="121">
        <f>F122+F123+F124+F125</f>
        <v>1541.0981499999998</v>
      </c>
      <c r="G121" s="121">
        <f>G122+G123+G125+G124</f>
        <v>4235.2560299999996</v>
      </c>
      <c r="H121" s="121">
        <f>H122+H123+H124+H125</f>
        <v>38946.743969999996</v>
      </c>
      <c r="I121" s="121">
        <f>I122+I123+I124+I125</f>
        <v>6021.4088899999997</v>
      </c>
      <c r="J121" s="305"/>
    </row>
    <row r="122" spans="1:10" ht="14.1" customHeight="1" x14ac:dyDescent="0.25">
      <c r="A122" s="192"/>
      <c r="B122" s="122"/>
      <c r="C122" s="60" t="s">
        <v>24</v>
      </c>
      <c r="D122" s="61">
        <v>11476</v>
      </c>
      <c r="E122" s="61"/>
      <c r="F122" s="123">
        <f>500.74472</f>
        <v>500.74471999999997</v>
      </c>
      <c r="G122" s="123">
        <f>1380.37185</f>
        <v>1380.37185</v>
      </c>
      <c r="H122" s="123">
        <f>D122-G122</f>
        <v>10095.62815</v>
      </c>
      <c r="I122" s="123">
        <f>1510.67237</f>
        <v>1510.67237</v>
      </c>
      <c r="J122" s="125"/>
    </row>
    <row r="123" spans="1:10" ht="14.1" customHeight="1" x14ac:dyDescent="0.25">
      <c r="A123" s="192"/>
      <c r="B123" s="176"/>
      <c r="C123" s="60" t="s">
        <v>48</v>
      </c>
      <c r="D123" s="61">
        <v>11835</v>
      </c>
      <c r="E123" s="61"/>
      <c r="F123" s="123">
        <f>399.89653</f>
        <v>399.89652999999998</v>
      </c>
      <c r="G123" s="123">
        <f>1441.98998</f>
        <v>1441.9899800000001</v>
      </c>
      <c r="H123" s="123">
        <f>D123-G123</f>
        <v>10393.01002</v>
      </c>
      <c r="I123" s="123">
        <f>2011.41634</f>
        <v>2011.41634</v>
      </c>
      <c r="J123" s="126"/>
    </row>
    <row r="124" spans="1:10" ht="14.1" customHeight="1" x14ac:dyDescent="0.25">
      <c r="A124" s="192"/>
      <c r="B124" s="176"/>
      <c r="C124" s="60" t="s">
        <v>49</v>
      </c>
      <c r="D124" s="61">
        <v>10473</v>
      </c>
      <c r="E124" s="61"/>
      <c r="F124" s="123">
        <f>302.62385</f>
        <v>302.62385</v>
      </c>
      <c r="G124" s="123">
        <f>748.49114</f>
        <v>748.49113999999997</v>
      </c>
      <c r="H124" s="123">
        <f>D124-G124</f>
        <v>9724.5088599999999</v>
      </c>
      <c r="I124" s="123">
        <f>1416.8708</f>
        <v>1416.8707999999999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9398</v>
      </c>
      <c r="E125" s="61"/>
      <c r="F125" s="123">
        <f>337.83305</f>
        <v>337.83305000000001</v>
      </c>
      <c r="G125" s="123">
        <f>664.40306</f>
        <v>664.40305999999998</v>
      </c>
      <c r="H125" s="123">
        <f>D125-G125</f>
        <v>8733.5969399999994</v>
      </c>
      <c r="I125" s="123">
        <f>1082.44938</f>
        <v>1082.44938</v>
      </c>
      <c r="J125" s="126"/>
    </row>
    <row r="126" spans="1:10" ht="14.1" customHeight="1" x14ac:dyDescent="0.25">
      <c r="A126" s="64"/>
      <c r="B126" s="51"/>
      <c r="C126" s="54" t="s">
        <v>28</v>
      </c>
      <c r="D126" s="55">
        <f>D127+D128</f>
        <v>7319</v>
      </c>
      <c r="E126" s="55">
        <f>E127+E128</f>
        <v>0</v>
      </c>
      <c r="F126" s="129">
        <f>SUM(F127:F128)</f>
        <v>1.1614499999999999</v>
      </c>
      <c r="G126" s="129">
        <f>SUM(G127:G128)</f>
        <v>7.3066500000000003</v>
      </c>
      <c r="H126" s="129">
        <f>H127+H128</f>
        <v>7311.6933500000005</v>
      </c>
      <c r="I126" s="129">
        <f>SUM(I127:I128)</f>
        <v>729.68756000000008</v>
      </c>
      <c r="J126" s="130"/>
    </row>
    <row r="127" spans="1:10" ht="14.1" customHeight="1" x14ac:dyDescent="0.25">
      <c r="A127" s="1"/>
      <c r="B127" s="281"/>
      <c r="C127" s="60" t="s">
        <v>62</v>
      </c>
      <c r="D127" s="61">
        <v>6819</v>
      </c>
      <c r="E127" s="61"/>
      <c r="F127" s="123">
        <f>0.10665</f>
        <v>0.10664999999999999</v>
      </c>
      <c r="G127" s="123">
        <f>0.10665</f>
        <v>0.10664999999999999</v>
      </c>
      <c r="H127" s="123">
        <f t="shared" ref="H127:H135" si="13">D127-G127</f>
        <v>6818.8933500000003</v>
      </c>
      <c r="I127" s="123">
        <f>707.63516</f>
        <v>707.63516000000004</v>
      </c>
      <c r="J127" s="117"/>
    </row>
    <row r="128" spans="1:10" ht="15" customHeight="1" x14ac:dyDescent="0.25">
      <c r="A128" s="1"/>
      <c r="B128" s="51"/>
      <c r="C128" s="60" t="s">
        <v>63</v>
      </c>
      <c r="D128" s="61">
        <v>500</v>
      </c>
      <c r="E128" s="61"/>
      <c r="F128" s="123">
        <f>1.0548</f>
        <v>1.0548</v>
      </c>
      <c r="G128" s="123">
        <f>7.2</f>
        <v>7.2</v>
      </c>
      <c r="H128" s="123">
        <f t="shared" si="13"/>
        <v>492.8</v>
      </c>
      <c r="I128" s="123">
        <f>22.0524</f>
        <v>22.052399999999999</v>
      </c>
      <c r="J128" s="131"/>
    </row>
    <row r="129" spans="1:10" ht="15.75" customHeight="1" x14ac:dyDescent="0.25">
      <c r="A129" s="1"/>
      <c r="B129" s="281"/>
      <c r="C129" s="37" t="s">
        <v>11</v>
      </c>
      <c r="D129" s="59">
        <v>9315</v>
      </c>
      <c r="E129" s="59"/>
      <c r="F129" s="72">
        <f>290.36347</f>
        <v>290.36347000000001</v>
      </c>
      <c r="G129" s="72">
        <f>666.12183</f>
        <v>666.12183000000005</v>
      </c>
      <c r="H129" s="72">
        <f t="shared" si="13"/>
        <v>8648.87817</v>
      </c>
      <c r="I129" s="72">
        <f>537.36115</f>
        <v>537.36114999999995</v>
      </c>
      <c r="J129" s="117"/>
    </row>
    <row r="130" spans="1:10" ht="15.75" customHeight="1" x14ac:dyDescent="0.25">
      <c r="A130" s="1"/>
      <c r="B130" s="281"/>
      <c r="C130" s="139" t="s">
        <v>33</v>
      </c>
      <c r="D130" s="140">
        <v>146</v>
      </c>
      <c r="E130" s="140"/>
      <c r="F130" s="136">
        <f>0.1431</f>
        <v>0.1431</v>
      </c>
      <c r="G130" s="136">
        <f>0.9285</f>
        <v>0.92849999999999999</v>
      </c>
      <c r="H130" s="136">
        <f t="shared" si="13"/>
        <v>145.07149999999999</v>
      </c>
      <c r="I130" s="136">
        <f>1.8336</f>
        <v>1.8335999999999999</v>
      </c>
      <c r="J130" s="117"/>
    </row>
    <row r="131" spans="1:10" ht="15.75" customHeight="1" x14ac:dyDescent="0.25">
      <c r="A131" s="1"/>
      <c r="B131" s="281"/>
      <c r="C131" s="137" t="s">
        <v>64</v>
      </c>
      <c r="D131" s="86">
        <v>350</v>
      </c>
      <c r="E131" s="86"/>
      <c r="F131" s="95">
        <f>0</f>
        <v>0</v>
      </c>
      <c r="G131" s="95">
        <f>0</f>
        <v>0</v>
      </c>
      <c r="H131" s="95">
        <f t="shared" si="13"/>
        <v>350</v>
      </c>
      <c r="I131" s="95">
        <f>0</f>
        <v>0</v>
      </c>
      <c r="J131" s="117"/>
    </row>
    <row r="132" spans="1:10" ht="18" customHeight="1" x14ac:dyDescent="0.25">
      <c r="A132" s="1"/>
      <c r="B132" s="281"/>
      <c r="C132" s="137" t="s">
        <v>65</v>
      </c>
      <c r="D132" s="140">
        <v>2000</v>
      </c>
      <c r="E132" s="140"/>
      <c r="F132" s="136">
        <f>9.26879</f>
        <v>9.2687899999999992</v>
      </c>
      <c r="G132" s="136">
        <f>E132</f>
        <v>0</v>
      </c>
      <c r="H132" s="136">
        <f t="shared" si="13"/>
        <v>2000</v>
      </c>
      <c r="I132" s="136">
        <f>E132</f>
        <v>0</v>
      </c>
      <c r="J132" s="271"/>
    </row>
    <row r="133" spans="1:10" ht="15.75" customHeight="1" x14ac:dyDescent="0.25">
      <c r="A133" s="1"/>
      <c r="B133" s="281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3"/>
        <v>0</v>
      </c>
      <c r="I133" s="136"/>
      <c r="J133" s="117"/>
    </row>
    <row r="134" spans="1:10" ht="15.75" customHeight="1" x14ac:dyDescent="0.25">
      <c r="A134" s="1"/>
      <c r="B134" s="281"/>
      <c r="C134" s="139" t="s">
        <v>66</v>
      </c>
      <c r="D134" s="140">
        <v>313</v>
      </c>
      <c r="E134" s="140"/>
      <c r="F134" s="95">
        <f>0.1651</f>
        <v>0.1651</v>
      </c>
      <c r="G134" s="95">
        <f>1.6687</f>
        <v>1.6687000000000001</v>
      </c>
      <c r="H134" s="136">
        <f t="shared" si="13"/>
        <v>311.3313</v>
      </c>
      <c r="I134" s="95">
        <f>7.04495</f>
        <v>7.04495</v>
      </c>
      <c r="J134" s="117"/>
    </row>
    <row r="135" spans="1:10" ht="15" customHeight="1" x14ac:dyDescent="0.25">
      <c r="A135" s="1"/>
      <c r="B135" s="281"/>
      <c r="C135" s="139" t="s">
        <v>38</v>
      </c>
      <c r="D135" s="142"/>
      <c r="E135" s="140"/>
      <c r="F135" s="136">
        <f>3.728</f>
        <v>3.7280000000000002</v>
      </c>
      <c r="G135" s="136">
        <f>34.057</f>
        <v>34.057000000000002</v>
      </c>
      <c r="H135" s="136">
        <f t="shared" si="13"/>
        <v>-34.057000000000002</v>
      </c>
      <c r="I135" s="136">
        <f>41.389</f>
        <v>41.389000000000003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39</v>
      </c>
      <c r="D137" s="73">
        <f t="shared" ref="D137:E137" si="14">D115+D119+D120+D130+D131+D132+D133+D134+D135</f>
        <v>153524</v>
      </c>
      <c r="E137" s="73">
        <f t="shared" si="14"/>
        <v>0</v>
      </c>
      <c r="F137" s="73">
        <f>F115+F119+F120+F130+F131+F132+F133+F134+F135</f>
        <v>1967.1162099999999</v>
      </c>
      <c r="G137" s="73">
        <f>G115+G119+G120+G130+G131+G132+G133+G134+G135</f>
        <v>5295.8139799999999</v>
      </c>
      <c r="H137" s="73">
        <f>H115+H119+H120+H130+H131+H132+H133+H134+H135</f>
        <v>148228.18601999996</v>
      </c>
      <c r="I137" s="73">
        <f>I115+I119+I120+I130+I131+I132+I133+I134+I135</f>
        <v>8070.2509300000002</v>
      </c>
      <c r="J137" s="155"/>
    </row>
    <row r="138" spans="1:10" ht="14.25" customHeight="1" x14ac:dyDescent="0.25">
      <c r="A138" s="152"/>
      <c r="B138" s="50"/>
      <c r="C138" s="156" t="s">
        <v>67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337" t="s">
        <v>165</v>
      </c>
      <c r="D139" s="116"/>
      <c r="E139" s="116"/>
      <c r="F139" s="116"/>
      <c r="G139" s="116"/>
      <c r="H139" s="159"/>
      <c r="I139" s="152"/>
      <c r="J139" s="305"/>
    </row>
    <row r="140" spans="1:10" ht="14.25" customHeight="1" x14ac:dyDescent="0.25">
      <c r="A140" s="152"/>
      <c r="B140" s="50"/>
      <c r="C140" s="156" t="s">
        <v>164</v>
      </c>
      <c r="D140" s="116"/>
      <c r="E140" s="116"/>
      <c r="F140" s="116"/>
      <c r="G140" s="116"/>
      <c r="H140" s="159"/>
      <c r="I140" s="152"/>
      <c r="J140" s="305"/>
    </row>
    <row r="141" spans="1:10" ht="14.25" customHeight="1" x14ac:dyDescent="0.25">
      <c r="A141" s="152"/>
      <c r="B141" s="50"/>
      <c r="C141" s="74" t="s">
        <v>158</v>
      </c>
      <c r="D141" s="116"/>
      <c r="E141" s="116"/>
      <c r="F141" s="116"/>
      <c r="G141" s="116"/>
      <c r="H141" s="159"/>
      <c r="I141" s="159"/>
      <c r="J141" s="305"/>
    </row>
    <row r="142" spans="1:10" ht="15.75" customHeight="1" x14ac:dyDescent="0.25">
      <c r="A142" s="152"/>
      <c r="B142" s="50"/>
      <c r="C142" s="156" t="s">
        <v>120</v>
      </c>
      <c r="D142" s="116"/>
      <c r="E142" s="116"/>
      <c r="F142" s="116"/>
      <c r="G142" s="116"/>
      <c r="H142" s="159"/>
      <c r="I142" s="159"/>
      <c r="J142" s="305"/>
    </row>
    <row r="143" spans="1:10" ht="15.75" customHeight="1" x14ac:dyDescent="0.25">
      <c r="A143" s="152"/>
      <c r="B143" s="50"/>
      <c r="C143" s="74" t="s">
        <v>147</v>
      </c>
      <c r="D143" s="116"/>
      <c r="E143" s="116"/>
      <c r="F143" s="116"/>
      <c r="G143" s="116"/>
      <c r="H143" s="159"/>
      <c r="I143" s="159"/>
      <c r="J143" s="305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108</v>
      </c>
      <c r="B147" s="2"/>
      <c r="C147" s="233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108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108</v>
      </c>
      <c r="B150" s="281"/>
      <c r="C150" s="144" t="s">
        <v>1</v>
      </c>
      <c r="D150" s="180"/>
      <c r="E150" s="306"/>
      <c r="F150" s="306"/>
      <c r="G150" s="306"/>
      <c r="H150" s="1"/>
      <c r="I150" s="1"/>
      <c r="J150" s="117"/>
    </row>
    <row r="151" spans="1:10" ht="14.1" customHeight="1" x14ac:dyDescent="0.25">
      <c r="A151" s="1"/>
      <c r="B151" s="281"/>
      <c r="C151" s="172" t="s">
        <v>6</v>
      </c>
      <c r="D151" s="184">
        <v>9675</v>
      </c>
      <c r="E151" s="306"/>
      <c r="F151" s="306"/>
      <c r="G151" s="306"/>
      <c r="H151" s="1"/>
      <c r="I151" s="1"/>
      <c r="J151" s="117"/>
    </row>
    <row r="152" spans="1:10" ht="14.1" customHeight="1" x14ac:dyDescent="0.25">
      <c r="A152" s="1"/>
      <c r="B152" s="281"/>
      <c r="C152" s="172" t="s">
        <v>9</v>
      </c>
      <c r="D152" s="184">
        <v>8625</v>
      </c>
      <c r="E152" s="306"/>
      <c r="F152" s="306"/>
      <c r="G152" s="262"/>
      <c r="H152" s="1"/>
      <c r="I152" s="1"/>
      <c r="J152" s="117"/>
    </row>
    <row r="153" spans="1:10" ht="14.1" customHeight="1" x14ac:dyDescent="0.25">
      <c r="A153" s="1"/>
      <c r="B153" s="281"/>
      <c r="C153" s="172" t="s">
        <v>69</v>
      </c>
      <c r="D153" s="184">
        <v>700</v>
      </c>
      <c r="E153" s="306"/>
      <c r="F153" s="306"/>
      <c r="G153" s="306"/>
      <c r="H153" s="1"/>
      <c r="I153" s="1"/>
      <c r="J153" s="117"/>
    </row>
    <row r="154" spans="1:10" ht="14.1" customHeight="1" x14ac:dyDescent="0.25">
      <c r="A154" s="1"/>
      <c r="B154" s="281"/>
      <c r="C154" s="172" t="s">
        <v>46</v>
      </c>
      <c r="D154" s="184">
        <v>19000</v>
      </c>
      <c r="E154" s="306"/>
      <c r="F154" s="306"/>
      <c r="G154" s="306"/>
      <c r="H154" s="1"/>
      <c r="I154" s="1"/>
      <c r="J154" s="117"/>
    </row>
    <row r="155" spans="1:10" ht="14.1" customHeight="1" x14ac:dyDescent="0.25">
      <c r="A155" s="1"/>
      <c r="B155" s="281"/>
      <c r="C155" s="1"/>
      <c r="D155" s="45"/>
      <c r="E155" s="306"/>
      <c r="F155" s="306"/>
      <c r="G155" s="306"/>
      <c r="H155" s="1"/>
      <c r="I155" s="1"/>
      <c r="J155" s="117"/>
    </row>
    <row r="156" spans="1:10" ht="3.75" customHeight="1" x14ac:dyDescent="0.25">
      <c r="A156" s="1"/>
      <c r="B156" s="268"/>
      <c r="C156" s="154"/>
      <c r="D156" s="154"/>
      <c r="E156" s="293"/>
      <c r="F156" s="293"/>
      <c r="G156" s="293"/>
      <c r="H156" s="260"/>
      <c r="I156" s="260"/>
      <c r="J156" s="272"/>
    </row>
    <row r="157" spans="1:10" ht="24.75" customHeight="1" x14ac:dyDescent="0.25">
      <c r="A157" s="1"/>
      <c r="B157" s="281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51"/>
      <c r="D158" s="251"/>
      <c r="E158" s="251"/>
      <c r="F158" s="251"/>
      <c r="G158" s="251"/>
      <c r="H158" s="251"/>
      <c r="I158" s="251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160</v>
      </c>
      <c r="F159" s="14" t="s">
        <v>161</v>
      </c>
      <c r="G159" s="52" t="s">
        <v>162</v>
      </c>
      <c r="H159" s="14" t="s">
        <v>163</v>
      </c>
      <c r="I159" s="152"/>
      <c r="J159" s="305"/>
    </row>
    <row r="160" spans="1:10" ht="14.1" customHeight="1" x14ac:dyDescent="0.25">
      <c r="A160" s="1"/>
      <c r="B160" s="281"/>
      <c r="C160" s="138" t="s">
        <v>70</v>
      </c>
      <c r="D160" s="91">
        <v>3754</v>
      </c>
      <c r="E160" s="301">
        <f>5.19282</f>
        <v>5.1928200000000002</v>
      </c>
      <c r="F160" s="301">
        <f>19.62463</f>
        <v>19.62463</v>
      </c>
      <c r="G160" s="42">
        <f>D160-F160-F161</f>
        <v>3734.3753700000002</v>
      </c>
      <c r="H160" s="301">
        <f>91.48029</f>
        <v>91.480289999999997</v>
      </c>
      <c r="I160" s="1"/>
      <c r="J160" s="117"/>
    </row>
    <row r="161" spans="1:10" ht="14.1" customHeight="1" x14ac:dyDescent="0.25">
      <c r="A161" s="1"/>
      <c r="B161" s="281"/>
      <c r="C161" s="133" t="s">
        <v>50</v>
      </c>
      <c r="D161" s="175"/>
      <c r="E161" s="148">
        <f>0</f>
        <v>0</v>
      </c>
      <c r="F161" s="148">
        <f>0</f>
        <v>0</v>
      </c>
      <c r="G161" s="219"/>
      <c r="H161" s="148">
        <f>0</f>
        <v>0</v>
      </c>
      <c r="I161" s="1"/>
      <c r="J161" s="117"/>
    </row>
    <row r="162" spans="1:10" ht="15.6" customHeight="1" x14ac:dyDescent="0.25">
      <c r="A162" s="1"/>
      <c r="B162" s="281"/>
      <c r="C162" s="163" t="s">
        <v>71</v>
      </c>
      <c r="D162" s="95">
        <v>200</v>
      </c>
      <c r="E162" s="166">
        <f>0</f>
        <v>0</v>
      </c>
      <c r="F162" s="166">
        <f>0</f>
        <v>0</v>
      </c>
      <c r="G162" s="166">
        <f>D162-F162</f>
        <v>200</v>
      </c>
      <c r="H162" s="166">
        <f>0</f>
        <v>0</v>
      </c>
      <c r="I162" s="1"/>
      <c r="J162" s="117"/>
    </row>
    <row r="163" spans="1:10" ht="14.1" customHeight="1" x14ac:dyDescent="0.25">
      <c r="A163" s="65"/>
      <c r="B163" s="75"/>
      <c r="C163" s="174" t="s">
        <v>72</v>
      </c>
      <c r="D163" s="175">
        <v>5630</v>
      </c>
      <c r="E163" s="175">
        <f>E164+E165+E166</f>
        <v>11.44244</v>
      </c>
      <c r="F163" s="175">
        <f>F164+F165+F166</f>
        <v>23.514119999999998</v>
      </c>
      <c r="G163" s="175">
        <f>D163-F163</f>
        <v>5606.4858800000002</v>
      </c>
      <c r="H163" s="175">
        <f>H164+H165+H166</f>
        <v>5.9675600000000006</v>
      </c>
      <c r="I163" s="65"/>
      <c r="J163" s="111"/>
    </row>
    <row r="164" spans="1:10" ht="14.1" customHeight="1" x14ac:dyDescent="0.25">
      <c r="A164" s="192"/>
      <c r="B164" s="176"/>
      <c r="C164" s="177" t="s">
        <v>73</v>
      </c>
      <c r="D164" s="123"/>
      <c r="E164" s="123">
        <f>5.64</f>
        <v>5.64</v>
      </c>
      <c r="F164" s="123">
        <f>14.34068</f>
        <v>14.340680000000001</v>
      </c>
      <c r="G164" s="123"/>
      <c r="H164" s="123">
        <f>2.0964</f>
        <v>2.0964</v>
      </c>
      <c r="I164" s="181"/>
      <c r="J164" s="126"/>
    </row>
    <row r="165" spans="1:10" ht="14.1" customHeight="1" x14ac:dyDescent="0.25">
      <c r="A165" s="192"/>
      <c r="B165" s="176"/>
      <c r="C165" s="177" t="s">
        <v>74</v>
      </c>
      <c r="D165" s="123"/>
      <c r="E165" s="123">
        <f>5.17058</f>
        <v>5.1705800000000002</v>
      </c>
      <c r="F165" s="123">
        <f>8.51182</f>
        <v>8.5118200000000002</v>
      </c>
      <c r="G165" s="123"/>
      <c r="H165" s="123">
        <f>0.9704</f>
        <v>0.97040000000000004</v>
      </c>
      <c r="I165" s="181"/>
      <c r="J165" s="182"/>
    </row>
    <row r="166" spans="1:10" ht="14.1" customHeight="1" x14ac:dyDescent="0.25">
      <c r="A166" s="192"/>
      <c r="B166" s="176"/>
      <c r="C166" s="183" t="s">
        <v>75</v>
      </c>
      <c r="D166" s="186"/>
      <c r="E166" s="186">
        <f>0.63186</f>
        <v>0.63185999999999998</v>
      </c>
      <c r="F166" s="186">
        <f>0.66162</f>
        <v>0.66161999999999999</v>
      </c>
      <c r="G166" s="186"/>
      <c r="H166" s="186">
        <f>2.90076</f>
        <v>2.90076</v>
      </c>
      <c r="I166" s="181"/>
      <c r="J166" s="182"/>
    </row>
    <row r="167" spans="1:10" ht="14.1" customHeight="1" x14ac:dyDescent="0.25">
      <c r="A167" s="1"/>
      <c r="B167" s="281"/>
      <c r="C167" s="70" t="s">
        <v>76</v>
      </c>
      <c r="D167" s="136">
        <v>91</v>
      </c>
      <c r="E167" s="136">
        <f>0</f>
        <v>0</v>
      </c>
      <c r="F167" s="136">
        <f>0.47596</f>
        <v>0.47595999999999999</v>
      </c>
      <c r="G167" s="136">
        <f>D167-F167</f>
        <v>90.524039999999999</v>
      </c>
      <c r="H167" s="136">
        <f>0</f>
        <v>0</v>
      </c>
      <c r="I167" s="173"/>
      <c r="J167" s="271"/>
    </row>
    <row r="168" spans="1:10" ht="16.5" customHeight="1" x14ac:dyDescent="0.25">
      <c r="A168" s="1"/>
      <c r="B168" s="281"/>
      <c r="C168" s="89" t="s">
        <v>77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71"/>
    </row>
    <row r="169" spans="1:10" ht="19.350000000000001" customHeight="1" x14ac:dyDescent="0.2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16.635259999999999</v>
      </c>
      <c r="F169" s="188">
        <f>F160+F161+F162+F163+F167+F168</f>
        <v>43.614710000000002</v>
      </c>
      <c r="G169" s="188">
        <f>D169-F169</f>
        <v>9631.3852900000002</v>
      </c>
      <c r="H169" s="188">
        <f>H160+H161+H162+H163+H167+H168</f>
        <v>97.447850000000003</v>
      </c>
      <c r="I169" s="159"/>
      <c r="J169" s="155"/>
    </row>
    <row r="170" spans="1:10" ht="42" customHeight="1" x14ac:dyDescent="0.25">
      <c r="A170" s="1"/>
      <c r="B170" s="193"/>
      <c r="C170" s="254" t="s">
        <v>148</v>
      </c>
      <c r="D170" s="254"/>
      <c r="E170" s="254"/>
      <c r="F170" s="254"/>
      <c r="G170" s="254"/>
      <c r="H170" s="251"/>
      <c r="I170" s="251"/>
      <c r="J170" s="13"/>
    </row>
    <row r="171" spans="1:10" ht="12" customHeight="1" x14ac:dyDescent="0.25">
      <c r="A171" s="152" t="s">
        <v>108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108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3" t="s">
        <v>78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108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53"/>
      <c r="D176" s="264"/>
      <c r="E176" s="264"/>
      <c r="F176" s="264"/>
      <c r="G176" s="264"/>
      <c r="H176" s="150"/>
      <c r="I176" s="150"/>
      <c r="J176" s="158"/>
    </row>
    <row r="177" spans="1:10" ht="15" customHeight="1" x14ac:dyDescent="0.25">
      <c r="A177" s="145"/>
      <c r="B177" s="281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81"/>
      <c r="C178" s="285" t="s">
        <v>79</v>
      </c>
      <c r="D178" s="296">
        <v>45707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81"/>
      <c r="C179" s="275" t="s">
        <v>80</v>
      </c>
      <c r="D179" s="46">
        <v>15552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81"/>
      <c r="C180" s="275" t="s">
        <v>81</v>
      </c>
      <c r="D180" s="46">
        <v>6918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81"/>
      <c r="C181" s="57" t="s">
        <v>46</v>
      </c>
      <c r="D181" s="35">
        <v>69177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81"/>
      <c r="C182" s="101" t="s">
        <v>149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81"/>
      <c r="C183" s="101" t="s">
        <v>150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81"/>
      <c r="C184" s="101" t="s">
        <v>151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68"/>
      <c r="C185" s="293"/>
      <c r="D185" s="154"/>
      <c r="E185" s="154"/>
      <c r="F185" s="293"/>
      <c r="G185" s="293"/>
      <c r="H185" s="293"/>
      <c r="I185" s="260"/>
      <c r="J185" s="272"/>
    </row>
    <row r="186" spans="1:10" ht="23.25" customHeight="1" x14ac:dyDescent="0.25">
      <c r="A186" s="1"/>
      <c r="B186" s="281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81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81"/>
      <c r="C188" s="68" t="s">
        <v>16</v>
      </c>
      <c r="D188" s="210" t="s">
        <v>2</v>
      </c>
      <c r="E188" s="14" t="s">
        <v>122</v>
      </c>
      <c r="F188" s="68" t="s">
        <v>160</v>
      </c>
      <c r="G188" s="68" t="s">
        <v>161</v>
      </c>
      <c r="H188" s="68" t="s">
        <v>162</v>
      </c>
      <c r="I188" s="68" t="s">
        <v>163</v>
      </c>
      <c r="J188" s="117"/>
    </row>
    <row r="189" spans="1:10" ht="15" customHeight="1" x14ac:dyDescent="0.25">
      <c r="A189" s="1"/>
      <c r="B189" s="281"/>
      <c r="C189" s="90" t="s">
        <v>4</v>
      </c>
      <c r="D189" s="124">
        <v>45561</v>
      </c>
      <c r="E189" s="124"/>
      <c r="F189" s="124">
        <f>600.53031</f>
        <v>600.53030999999999</v>
      </c>
      <c r="G189" s="124">
        <f>4850.49346</f>
        <v>4850.4934599999997</v>
      </c>
      <c r="H189" s="124">
        <f>D189-G189</f>
        <v>40710.506540000002</v>
      </c>
      <c r="I189" s="124">
        <f>5290.94717</f>
        <v>5290.9471700000004</v>
      </c>
      <c r="J189" s="117"/>
    </row>
    <row r="190" spans="1:10" ht="15" customHeight="1" x14ac:dyDescent="0.25">
      <c r="A190" s="1"/>
      <c r="B190" s="281"/>
      <c r="C190" s="90" t="s">
        <v>63</v>
      </c>
      <c r="D190" s="124">
        <v>100</v>
      </c>
      <c r="E190" s="124"/>
      <c r="F190" s="124">
        <f>0.4194</f>
        <v>0.4194</v>
      </c>
      <c r="G190" s="124">
        <f>0.59759</f>
        <v>0.59758999999999995</v>
      </c>
      <c r="H190" s="124">
        <f>D190-G190</f>
        <v>99.402410000000003</v>
      </c>
      <c r="I190" s="124">
        <f>0.47824</f>
        <v>0.47824</v>
      </c>
      <c r="J190" s="117"/>
    </row>
    <row r="191" spans="1:10" ht="15.75" customHeight="1" x14ac:dyDescent="0.25">
      <c r="A191" s="1"/>
      <c r="B191" s="281"/>
      <c r="C191" s="146" t="s">
        <v>76</v>
      </c>
      <c r="D191" s="168">
        <v>46</v>
      </c>
      <c r="E191" s="168"/>
      <c r="F191" s="136">
        <f>0</f>
        <v>0</v>
      </c>
      <c r="G191" s="136">
        <f>0</f>
        <v>0</v>
      </c>
      <c r="H191" s="136">
        <f>D191-G191</f>
        <v>46</v>
      </c>
      <c r="I191" s="136">
        <f>0</f>
        <v>0</v>
      </c>
      <c r="J191" s="117"/>
    </row>
    <row r="192" spans="1:10" ht="16.5" customHeight="1" x14ac:dyDescent="0.25">
      <c r="A192" s="1"/>
      <c r="B192" s="281"/>
      <c r="C192" s="179" t="s">
        <v>82</v>
      </c>
      <c r="D192" s="190">
        <f>SUM(D189:D191)</f>
        <v>45707</v>
      </c>
      <c r="E192" s="190">
        <f>SUM(E189:E191)</f>
        <v>0</v>
      </c>
      <c r="F192" s="190">
        <f>SUM(F189:F191)</f>
        <v>600.94970999999998</v>
      </c>
      <c r="G192" s="190">
        <f>SUM(G189:G191)</f>
        <v>4851.09105</v>
      </c>
      <c r="H192" s="190">
        <f>D192-G192</f>
        <v>40855.908949999997</v>
      </c>
      <c r="I192" s="190">
        <f>SUM(I189:I191)</f>
        <v>5291.4254100000007</v>
      </c>
      <c r="J192" s="117"/>
    </row>
    <row r="193" spans="1:10" ht="12" customHeight="1" x14ac:dyDescent="0.25">
      <c r="A193" s="1"/>
      <c r="B193" s="281"/>
      <c r="C193" s="101" t="s">
        <v>83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246" t="s">
        <v>152</v>
      </c>
      <c r="D194" s="104"/>
      <c r="E194" s="104"/>
      <c r="F194" s="207"/>
      <c r="G194" s="207"/>
      <c r="H194" s="207"/>
      <c r="I194" s="207"/>
      <c r="J194" s="214"/>
    </row>
    <row r="195" spans="1:10" ht="15.9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3" t="s">
        <v>109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108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53"/>
      <c r="D198" s="264"/>
      <c r="E198" s="264"/>
      <c r="F198" s="264"/>
      <c r="G198" s="264"/>
      <c r="H198" s="150"/>
      <c r="I198" s="150"/>
      <c r="J198" s="158"/>
    </row>
    <row r="199" spans="1:10" ht="23.25" customHeight="1" x14ac:dyDescent="0.25">
      <c r="A199" s="1"/>
      <c r="B199" s="281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81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81"/>
      <c r="C201" s="68" t="s">
        <v>16</v>
      </c>
      <c r="D201" s="79" t="s">
        <v>2</v>
      </c>
      <c r="E201" s="68" t="s">
        <v>160</v>
      </c>
      <c r="F201" s="68" t="s">
        <v>161</v>
      </c>
      <c r="G201" s="68" t="s">
        <v>162</v>
      </c>
      <c r="H201" s="68" t="s">
        <v>163</v>
      </c>
      <c r="I201" s="1"/>
      <c r="J201" s="117"/>
    </row>
    <row r="202" spans="1:10" ht="15" customHeight="1" x14ac:dyDescent="0.25">
      <c r="A202" s="1"/>
      <c r="B202" s="281"/>
      <c r="C202" s="90" t="s">
        <v>112</v>
      </c>
      <c r="D202" s="124">
        <v>3202</v>
      </c>
      <c r="E202" s="72">
        <f>E203+E204</f>
        <v>9.146840000000001</v>
      </c>
      <c r="F202" s="72">
        <f>F203+F204</f>
        <v>14.876139999999999</v>
      </c>
      <c r="G202" s="72">
        <f>D202-F202</f>
        <v>3187.1238600000001</v>
      </c>
      <c r="H202" s="72">
        <f>H203+H204</f>
        <v>35.718909999999994</v>
      </c>
      <c r="I202" s="275"/>
      <c r="J202" s="117"/>
    </row>
    <row r="203" spans="1:10" ht="15" customHeight="1" x14ac:dyDescent="0.25">
      <c r="A203" s="1"/>
      <c r="B203" s="281"/>
      <c r="C203" s="172" t="s">
        <v>8</v>
      </c>
      <c r="D203" s="124"/>
      <c r="E203" s="72">
        <f>2.622</f>
        <v>2.6219999999999999</v>
      </c>
      <c r="F203" s="72">
        <f>2.8096</f>
        <v>2.8096000000000001</v>
      </c>
      <c r="G203" s="72"/>
      <c r="H203" s="72">
        <f>18.20798</f>
        <v>18.207979999999999</v>
      </c>
      <c r="I203" s="275"/>
      <c r="J203" s="117"/>
    </row>
    <row r="204" spans="1:10" ht="15" customHeight="1" x14ac:dyDescent="0.25">
      <c r="A204" s="1"/>
      <c r="B204" s="281"/>
      <c r="C204" s="172" t="s">
        <v>63</v>
      </c>
      <c r="D204" s="124"/>
      <c r="E204" s="124">
        <f>6.52484</f>
        <v>6.5248400000000002</v>
      </c>
      <c r="F204" s="124">
        <f>12.06654</f>
        <v>12.06654</v>
      </c>
      <c r="G204" s="168"/>
      <c r="H204" s="124">
        <f>17.51093</f>
        <v>17.510929999999998</v>
      </c>
      <c r="I204" s="275"/>
      <c r="J204" s="117"/>
    </row>
    <row r="205" spans="1:10" ht="15" customHeight="1" x14ac:dyDescent="0.25">
      <c r="A205" s="1"/>
      <c r="B205" s="281"/>
      <c r="C205" s="90" t="s">
        <v>113</v>
      </c>
      <c r="D205" s="124">
        <v>3704</v>
      </c>
      <c r="E205" s="72">
        <f>157.26084</f>
        <v>157.26084</v>
      </c>
      <c r="F205" s="72">
        <f>338.67956</f>
        <v>338.67955999999998</v>
      </c>
      <c r="G205" s="72">
        <f>D205-F205</f>
        <v>3365.32044</v>
      </c>
      <c r="H205" s="72">
        <f>224.00454</f>
        <v>224.00453999999999</v>
      </c>
      <c r="I205" s="275"/>
      <c r="J205" s="117"/>
    </row>
    <row r="206" spans="1:10" ht="16.5" customHeight="1" x14ac:dyDescent="0.25">
      <c r="A206" s="1"/>
      <c r="B206" s="281"/>
      <c r="C206" s="179" t="s">
        <v>82</v>
      </c>
      <c r="D206" s="190">
        <f>D205+D202</f>
        <v>6906</v>
      </c>
      <c r="E206" s="190">
        <f>SUM(E202,E205)</f>
        <v>166.40768</v>
      </c>
      <c r="F206" s="190">
        <f>SUM(F202,F205)</f>
        <v>353.5557</v>
      </c>
      <c r="G206" s="190">
        <f>D206-F206</f>
        <v>6552.4443000000001</v>
      </c>
      <c r="H206" s="190">
        <f>SUM(H202,H205)</f>
        <v>259.72344999999996</v>
      </c>
      <c r="I206" s="275"/>
      <c r="J206" s="117"/>
    </row>
    <row r="207" spans="1:10" ht="18.9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5.9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3" t="s">
        <v>110</v>
      </c>
      <c r="D209" s="164"/>
      <c r="E209" s="164"/>
      <c r="F209" s="164"/>
      <c r="G209" s="164"/>
      <c r="H209" s="1"/>
      <c r="I209" s="1"/>
      <c r="J209" s="1"/>
    </row>
    <row r="210" spans="1:10" ht="21.6" customHeight="1" x14ac:dyDescent="0.35">
      <c r="A210" s="145" t="s">
        <v>108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53"/>
      <c r="D211" s="264"/>
      <c r="E211" s="264"/>
      <c r="F211" s="264"/>
      <c r="G211" s="264"/>
      <c r="H211" s="150"/>
      <c r="I211" s="150"/>
      <c r="J211" s="158"/>
    </row>
    <row r="212" spans="1:10" ht="23.25" customHeight="1" x14ac:dyDescent="0.25">
      <c r="A212" s="1"/>
      <c r="B212" s="281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81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81"/>
      <c r="C214" s="68" t="s">
        <v>16</v>
      </c>
      <c r="D214" s="79" t="s">
        <v>2</v>
      </c>
      <c r="E214" s="68" t="s">
        <v>160</v>
      </c>
      <c r="F214" s="68" t="s">
        <v>161</v>
      </c>
      <c r="G214" s="68" t="s">
        <v>162</v>
      </c>
      <c r="H214" s="68" t="s">
        <v>163</v>
      </c>
      <c r="I214" s="1"/>
      <c r="J214" s="117"/>
    </row>
    <row r="215" spans="1:10" ht="15" customHeight="1" x14ac:dyDescent="0.25">
      <c r="A215" s="1"/>
      <c r="B215" s="281"/>
      <c r="C215" s="90" t="s">
        <v>112</v>
      </c>
      <c r="D215" s="124">
        <v>5516</v>
      </c>
      <c r="E215" s="72">
        <f>E216+E217</f>
        <v>31.000699999999998</v>
      </c>
      <c r="F215" s="72">
        <f>F216+F217</f>
        <v>43.603619999999999</v>
      </c>
      <c r="G215" s="72">
        <f>D215-F215</f>
        <v>5472.3963800000001</v>
      </c>
      <c r="H215" s="72">
        <f>H216+H217</f>
        <v>35.991079999999997</v>
      </c>
      <c r="I215" s="275"/>
      <c r="J215" s="117"/>
    </row>
    <row r="216" spans="1:10" ht="15" customHeight="1" x14ac:dyDescent="0.25">
      <c r="A216" s="1"/>
      <c r="B216" s="281"/>
      <c r="C216" s="172" t="s">
        <v>8</v>
      </c>
      <c r="D216" s="124"/>
      <c r="E216" s="72">
        <f>19.1896</f>
        <v>19.189599999999999</v>
      </c>
      <c r="F216" s="72">
        <f>25.239</f>
        <v>25.239000000000001</v>
      </c>
      <c r="G216" s="72"/>
      <c r="H216" s="72">
        <f>27.07722</f>
        <v>27.077220000000001</v>
      </c>
      <c r="I216" s="275"/>
      <c r="J216" s="117"/>
    </row>
    <row r="217" spans="1:10" ht="15" customHeight="1" x14ac:dyDescent="0.25">
      <c r="A217" s="1"/>
      <c r="B217" s="281"/>
      <c r="C217" s="172" t="s">
        <v>63</v>
      </c>
      <c r="D217" s="124"/>
      <c r="E217" s="124">
        <f>11.8111</f>
        <v>11.8111</v>
      </c>
      <c r="F217" s="124">
        <f>18.36462</f>
        <v>18.364619999999999</v>
      </c>
      <c r="G217" s="168"/>
      <c r="H217" s="124">
        <f>8.91386</f>
        <v>8.9138599999999997</v>
      </c>
      <c r="I217" s="275"/>
      <c r="J217" s="117"/>
    </row>
    <row r="218" spans="1:10" ht="15" customHeight="1" x14ac:dyDescent="0.25">
      <c r="A218" s="1"/>
      <c r="B218" s="281"/>
      <c r="C218" s="90" t="s">
        <v>113</v>
      </c>
      <c r="D218" s="124">
        <v>3232</v>
      </c>
      <c r="E218" s="72">
        <f>187.6873</f>
        <v>187.68729999999999</v>
      </c>
      <c r="F218" s="72">
        <f>468.79283</f>
        <v>468.79282999999998</v>
      </c>
      <c r="G218" s="72">
        <f>D218-F218</f>
        <v>2763.2071700000001</v>
      </c>
      <c r="H218" s="72">
        <f>275.20108</f>
        <v>275.20107999999999</v>
      </c>
      <c r="I218" s="275"/>
      <c r="J218" s="117"/>
    </row>
    <row r="219" spans="1:10" ht="16.5" customHeight="1" x14ac:dyDescent="0.25">
      <c r="A219" s="1"/>
      <c r="B219" s="281"/>
      <c r="C219" s="179" t="s">
        <v>82</v>
      </c>
      <c r="D219" s="190">
        <f>D218+D215</f>
        <v>8748</v>
      </c>
      <c r="E219" s="190">
        <f>SUM(E215,E218)</f>
        <v>218.68799999999999</v>
      </c>
      <c r="F219" s="190">
        <f>SUM(F215,F218)</f>
        <v>512.39644999999996</v>
      </c>
      <c r="G219" s="190">
        <f>D219-F219</f>
        <v>8235.6035499999998</v>
      </c>
      <c r="H219" s="190">
        <f>SUM(H215,H218)</f>
        <v>311.19216</v>
      </c>
      <c r="I219" s="275"/>
      <c r="J219" s="117"/>
    </row>
    <row r="220" spans="1:10" ht="18.9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23"/>
      <c r="B222" s="223"/>
      <c r="C222" s="233" t="s">
        <v>84</v>
      </c>
      <c r="D222" s="223"/>
      <c r="E222" s="223"/>
      <c r="F222" s="223"/>
      <c r="G222" s="223"/>
      <c r="H222" s="223"/>
      <c r="I222" s="223"/>
      <c r="J222" s="251"/>
    </row>
    <row r="223" spans="1:10" ht="21.6" customHeight="1" x14ac:dyDescent="0.25">
      <c r="A223" s="223" t="s">
        <v>108</v>
      </c>
      <c r="B223" s="223"/>
      <c r="C223" s="233"/>
      <c r="D223" s="223"/>
      <c r="E223" s="223"/>
      <c r="F223" s="223"/>
      <c r="G223" s="223"/>
      <c r="H223" s="223"/>
      <c r="I223" s="223"/>
      <c r="J223" s="251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81"/>
      <c r="C226" s="285" t="s">
        <v>79</v>
      </c>
      <c r="D226" s="247">
        <v>1516</v>
      </c>
      <c r="E226" s="145"/>
      <c r="F226" s="252"/>
      <c r="G226" s="1"/>
      <c r="H226" s="1"/>
      <c r="I226" s="1"/>
      <c r="J226" s="117"/>
    </row>
    <row r="227" spans="1:10" ht="14.1" customHeight="1" x14ac:dyDescent="0.25">
      <c r="A227" s="1"/>
      <c r="B227" s="281"/>
      <c r="C227" s="275" t="s">
        <v>85</v>
      </c>
      <c r="D227" s="247">
        <v>5282</v>
      </c>
      <c r="E227" s="145"/>
      <c r="F227" s="252"/>
      <c r="G227" s="1"/>
      <c r="H227" s="1"/>
      <c r="I227" s="1"/>
      <c r="J227" s="117"/>
    </row>
    <row r="228" spans="1:10" ht="14.1" customHeight="1" x14ac:dyDescent="0.25">
      <c r="A228" s="1"/>
      <c r="B228" s="281"/>
      <c r="C228" s="275" t="s">
        <v>86</v>
      </c>
      <c r="D228" s="247">
        <v>3984</v>
      </c>
      <c r="E228" s="145"/>
      <c r="F228" s="252"/>
      <c r="G228" s="1"/>
      <c r="H228" s="1"/>
      <c r="I228" s="1"/>
      <c r="J228" s="117"/>
    </row>
    <row r="229" spans="1:10" ht="13.5" customHeight="1" x14ac:dyDescent="0.25">
      <c r="A229" s="1"/>
      <c r="B229" s="281"/>
      <c r="C229" s="275" t="s">
        <v>114</v>
      </c>
      <c r="D229" s="248">
        <v>382</v>
      </c>
      <c r="E229" s="145"/>
      <c r="F229" s="252"/>
      <c r="G229" s="1"/>
      <c r="H229" s="1"/>
      <c r="I229" s="1"/>
      <c r="J229" s="117"/>
    </row>
    <row r="230" spans="1:10" ht="14.25" customHeight="1" x14ac:dyDescent="0.25">
      <c r="A230" s="1"/>
      <c r="B230" s="281"/>
      <c r="C230" s="57" t="s">
        <v>46</v>
      </c>
      <c r="D230" s="249">
        <v>11164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81"/>
      <c r="C231" s="255" t="s">
        <v>87</v>
      </c>
      <c r="D231" s="256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81"/>
      <c r="C232" s="101" t="s">
        <v>97</v>
      </c>
      <c r="D232" s="257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81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58"/>
      <c r="C234" s="261" t="s">
        <v>15</v>
      </c>
      <c r="D234" s="261"/>
      <c r="E234" s="261"/>
      <c r="F234" s="261"/>
      <c r="G234" s="261"/>
      <c r="H234" s="261"/>
      <c r="I234" s="261"/>
      <c r="J234" s="265"/>
    </row>
    <row r="235" spans="1:10" ht="14.1" customHeight="1" x14ac:dyDescent="0.25">
      <c r="A235" s="1"/>
      <c r="B235" s="267"/>
      <c r="C235" s="269"/>
      <c r="D235" s="269"/>
      <c r="E235" s="269"/>
      <c r="F235" s="269"/>
      <c r="G235" s="269"/>
      <c r="H235" s="269"/>
      <c r="I235" s="269"/>
      <c r="J235" s="117"/>
    </row>
    <row r="236" spans="1:10" ht="54" customHeight="1" x14ac:dyDescent="0.25">
      <c r="A236" s="1"/>
      <c r="B236" s="281"/>
      <c r="C236" s="68" t="s">
        <v>16</v>
      </c>
      <c r="D236" s="270" t="s">
        <v>2</v>
      </c>
      <c r="E236" s="68" t="s">
        <v>160</v>
      </c>
      <c r="F236" s="68" t="s">
        <v>161</v>
      </c>
      <c r="G236" s="68" t="s">
        <v>162</v>
      </c>
      <c r="H236" s="68" t="s">
        <v>163</v>
      </c>
      <c r="I236" s="1"/>
      <c r="J236" s="111"/>
    </row>
    <row r="237" spans="1:10" ht="14.1" customHeight="1" x14ac:dyDescent="0.25">
      <c r="A237" s="65"/>
      <c r="B237" s="75"/>
      <c r="C237" s="90" t="s">
        <v>88</v>
      </c>
      <c r="D237" s="124">
        <v>800</v>
      </c>
      <c r="E237" s="124">
        <f>0.47672</f>
        <v>0.47671999999999998</v>
      </c>
      <c r="F237" s="124">
        <f>4.59976</f>
        <v>4.5997599999999998</v>
      </c>
      <c r="G237" s="124">
        <f>D237-F237</f>
        <v>795.40024000000005</v>
      </c>
      <c r="H237" s="124">
        <f>36.62096</f>
        <v>36.620959999999997</v>
      </c>
      <c r="I237" s="65"/>
      <c r="J237" s="271"/>
    </row>
    <row r="238" spans="1:10" ht="14.1" customHeight="1" x14ac:dyDescent="0.25">
      <c r="A238" s="1"/>
      <c r="B238" s="281"/>
      <c r="C238" s="90" t="s">
        <v>89</v>
      </c>
      <c r="D238" s="273">
        <v>706</v>
      </c>
      <c r="E238" s="124">
        <f>42.34316</f>
        <v>42.343159999999997</v>
      </c>
      <c r="F238" s="124">
        <f>64.64645</f>
        <v>64.646450000000002</v>
      </c>
      <c r="G238" s="124">
        <f>D238-F238</f>
        <v>641.35355000000004</v>
      </c>
      <c r="H238" s="124">
        <f>81.84986</f>
        <v>81.849860000000007</v>
      </c>
      <c r="I238" s="173"/>
      <c r="J238" s="111"/>
    </row>
    <row r="239" spans="1:10" ht="16.5" customHeight="1" x14ac:dyDescent="0.25">
      <c r="A239" s="65"/>
      <c r="B239" s="75"/>
      <c r="C239" s="146" t="s">
        <v>76</v>
      </c>
      <c r="D239" s="273">
        <v>10</v>
      </c>
      <c r="E239" s="168">
        <f>0</f>
        <v>0</v>
      </c>
      <c r="F239" s="168">
        <f>0</f>
        <v>0</v>
      </c>
      <c r="G239" s="124">
        <f>D239-F239</f>
        <v>10</v>
      </c>
      <c r="H239" s="168">
        <f>0</f>
        <v>0</v>
      </c>
      <c r="I239" s="65"/>
      <c r="J239" s="276"/>
    </row>
    <row r="240" spans="1:10" ht="18.75" customHeight="1" x14ac:dyDescent="0.25">
      <c r="A240" s="65"/>
      <c r="B240" s="277"/>
      <c r="C240" s="146" t="s">
        <v>90</v>
      </c>
      <c r="D240" s="245"/>
      <c r="E240" s="168">
        <f>0.045</f>
        <v>4.4999999999999998E-2</v>
      </c>
      <c r="F240" s="168">
        <f>0.045</f>
        <v>4.4999999999999998E-2</v>
      </c>
      <c r="G240" s="124">
        <f>D240-F240</f>
        <v>-4.4999999999999998E-2</v>
      </c>
      <c r="H240" s="168">
        <f>0</f>
        <v>0</v>
      </c>
      <c r="I240" s="309"/>
      <c r="J240" s="117"/>
    </row>
    <row r="241" spans="1:10" ht="14.1" customHeight="1" x14ac:dyDescent="0.25">
      <c r="A241" s="1"/>
      <c r="B241" s="281"/>
      <c r="C241" s="179" t="s">
        <v>82</v>
      </c>
      <c r="D241" s="5">
        <f>D226</f>
        <v>1516</v>
      </c>
      <c r="E241" s="190">
        <f>SUM(E237:E240)</f>
        <v>42.864879999999999</v>
      </c>
      <c r="F241" s="190">
        <f>SUM(F237:F240)</f>
        <v>69.291210000000007</v>
      </c>
      <c r="G241" s="190">
        <f>D241-F241</f>
        <v>1446.7087899999999</v>
      </c>
      <c r="H241" s="190">
        <f>H237+H238+H239+H240</f>
        <v>118.47082</v>
      </c>
      <c r="I241" s="1"/>
      <c r="J241" s="117"/>
    </row>
    <row r="242" spans="1:10" ht="14.1" customHeight="1" x14ac:dyDescent="0.25">
      <c r="A242" s="1"/>
      <c r="B242" s="281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5.95" customHeight="1" x14ac:dyDescent="0.25">
      <c r="A244" s="1"/>
      <c r="C244" s="145" t="s">
        <v>108</v>
      </c>
    </row>
    <row r="245" spans="1:10" ht="14.1" customHeight="1" x14ac:dyDescent="0.25">
      <c r="A245" s="1" t="s">
        <v>108</v>
      </c>
    </row>
    <row r="246" spans="1:10" ht="30" customHeight="1" x14ac:dyDescent="0.35">
      <c r="A246" s="223"/>
      <c r="B246" s="1"/>
      <c r="C246" s="213" t="s">
        <v>91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66"/>
      <c r="D247" s="266"/>
      <c r="E247" s="266"/>
      <c r="F247" s="266"/>
      <c r="G247" s="266"/>
      <c r="H247" s="266"/>
      <c r="I247" s="266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92</v>
      </c>
      <c r="F249" s="180"/>
      <c r="G249" s="144" t="s">
        <v>93</v>
      </c>
      <c r="H249" s="180"/>
      <c r="I249" s="145"/>
      <c r="J249" s="127"/>
    </row>
    <row r="250" spans="1:10" ht="14.25" customHeight="1" x14ac:dyDescent="0.25">
      <c r="B250" s="69"/>
      <c r="C250" s="285" t="s">
        <v>79</v>
      </c>
      <c r="D250" s="296">
        <v>28728</v>
      </c>
      <c r="E250" s="279" t="s">
        <v>4</v>
      </c>
      <c r="F250" s="99">
        <v>15215</v>
      </c>
      <c r="G250" s="275" t="s">
        <v>20</v>
      </c>
      <c r="H250" s="46">
        <v>7457</v>
      </c>
      <c r="I250" s="145"/>
      <c r="J250" s="127"/>
    </row>
    <row r="251" spans="1:10" ht="14.25" customHeight="1" x14ac:dyDescent="0.25">
      <c r="B251" s="69"/>
      <c r="C251" s="275" t="s">
        <v>86</v>
      </c>
      <c r="D251" s="46">
        <v>19199</v>
      </c>
      <c r="E251" s="173" t="s">
        <v>89</v>
      </c>
      <c r="F251" s="45">
        <v>8000</v>
      </c>
      <c r="G251" s="275" t="s">
        <v>21</v>
      </c>
      <c r="H251" s="46">
        <v>1941</v>
      </c>
      <c r="I251" s="145"/>
      <c r="J251" s="127"/>
    </row>
    <row r="252" spans="1:10" ht="14.25" customHeight="1" x14ac:dyDescent="0.25">
      <c r="B252" s="69"/>
      <c r="C252" s="275" t="s">
        <v>85</v>
      </c>
      <c r="D252" s="46">
        <v>6746</v>
      </c>
      <c r="E252" s="173" t="s">
        <v>56</v>
      </c>
      <c r="F252" s="45">
        <v>5500</v>
      </c>
      <c r="G252" s="275" t="s">
        <v>94</v>
      </c>
      <c r="H252" s="46">
        <v>4479</v>
      </c>
      <c r="I252" s="145"/>
      <c r="J252" s="127"/>
    </row>
    <row r="253" spans="1:10" ht="14.1" customHeight="1" x14ac:dyDescent="0.25">
      <c r="B253" s="69"/>
      <c r="C253" s="275"/>
      <c r="D253" s="46"/>
      <c r="E253" s="128"/>
      <c r="F253" s="141"/>
      <c r="G253" s="275" t="s">
        <v>95</v>
      </c>
      <c r="H253" s="46">
        <v>1338</v>
      </c>
      <c r="I253" s="145"/>
      <c r="J253" s="127"/>
    </row>
    <row r="254" spans="1:10" ht="14.1" customHeight="1" x14ac:dyDescent="0.25">
      <c r="B254" s="69"/>
      <c r="C254" s="57" t="s">
        <v>46</v>
      </c>
      <c r="D254" s="35">
        <v>54053</v>
      </c>
      <c r="E254" s="167" t="s">
        <v>96</v>
      </c>
      <c r="F254" s="35">
        <f>F250+F251+F252</f>
        <v>28715</v>
      </c>
      <c r="G254" s="57" t="s">
        <v>4</v>
      </c>
      <c r="H254" s="35">
        <f>SUM(H250:H253)</f>
        <v>15215</v>
      </c>
      <c r="I254" s="145"/>
      <c r="J254" s="127"/>
    </row>
    <row r="255" spans="1:10" ht="13.35" customHeight="1" x14ac:dyDescent="0.25">
      <c r="B255" s="69"/>
      <c r="C255" s="204" t="s">
        <v>119</v>
      </c>
      <c r="D255" s="173"/>
      <c r="E255" s="173"/>
      <c r="F255" s="173"/>
      <c r="G255" s="1"/>
      <c r="H255" s="173"/>
      <c r="I255" s="173"/>
      <c r="J255" s="271"/>
    </row>
    <row r="256" spans="1:10" ht="13.35" customHeight="1" x14ac:dyDescent="0.25">
      <c r="B256" s="69"/>
      <c r="C256" s="205" t="s">
        <v>115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58"/>
      <c r="C259" s="261" t="s">
        <v>15</v>
      </c>
      <c r="D259" s="261"/>
      <c r="E259" s="261"/>
      <c r="F259" s="261"/>
      <c r="G259" s="261"/>
      <c r="H259" s="261"/>
      <c r="I259" s="261"/>
      <c r="J259" s="265"/>
    </row>
    <row r="260" spans="1:10" ht="18.75" customHeight="1" x14ac:dyDescent="0.25">
      <c r="B260" s="193"/>
      <c r="C260" s="251"/>
      <c r="D260" s="251"/>
      <c r="E260" s="251"/>
      <c r="F260" s="251"/>
      <c r="G260" s="251"/>
      <c r="H260" s="251"/>
      <c r="I260" s="251"/>
      <c r="J260" s="13"/>
    </row>
    <row r="261" spans="1:10" ht="64.5" customHeight="1" x14ac:dyDescent="0.25">
      <c r="B261" s="69"/>
      <c r="C261" s="250" t="s">
        <v>16</v>
      </c>
      <c r="D261" s="259" t="s">
        <v>17</v>
      </c>
      <c r="E261" s="68" t="s">
        <v>121</v>
      </c>
      <c r="F261" s="250" t="s">
        <v>160</v>
      </c>
      <c r="G261" s="250" t="s">
        <v>161</v>
      </c>
      <c r="H261" s="250" t="s">
        <v>162</v>
      </c>
      <c r="I261" s="250" t="s">
        <v>163</v>
      </c>
      <c r="J261" s="127"/>
    </row>
    <row r="262" spans="1:10" ht="14.1" customHeight="1" x14ac:dyDescent="0.25">
      <c r="A262" s="223"/>
      <c r="B262" s="69"/>
      <c r="C262" s="274" t="s">
        <v>19</v>
      </c>
      <c r="D262" s="278">
        <f t="shared" ref="D262:I262" si="15">D266+D265+D264+D263</f>
        <v>15215</v>
      </c>
      <c r="E262" s="278">
        <f t="shared" si="15"/>
        <v>0</v>
      </c>
      <c r="F262" s="280">
        <f t="shared" si="15"/>
        <v>9.6776199999999992</v>
      </c>
      <c r="G262" s="280">
        <f t="shared" si="15"/>
        <v>53.949039999999997</v>
      </c>
      <c r="H262" s="280">
        <f>H266+H265+H264+H263</f>
        <v>15161.05096</v>
      </c>
      <c r="I262" s="280">
        <f t="shared" si="15"/>
        <v>154.31099</v>
      </c>
      <c r="J262" s="127"/>
    </row>
    <row r="263" spans="1:10" ht="14.1" customHeight="1" x14ac:dyDescent="0.25">
      <c r="A263" s="223"/>
      <c r="B263" s="69"/>
      <c r="C263" s="282" t="s">
        <v>98</v>
      </c>
      <c r="D263" s="283">
        <v>7457</v>
      </c>
      <c r="E263" s="283"/>
      <c r="F263" s="284">
        <f>0</f>
        <v>0</v>
      </c>
      <c r="G263" s="284">
        <f>0</f>
        <v>0</v>
      </c>
      <c r="H263" s="284">
        <f t="shared" ref="H263:H268" si="16">D263-G263</f>
        <v>7457</v>
      </c>
      <c r="I263" s="284">
        <f>0</f>
        <v>0</v>
      </c>
      <c r="J263" s="127"/>
    </row>
    <row r="264" spans="1:10" ht="14.1" customHeight="1" x14ac:dyDescent="0.25">
      <c r="A264" s="223"/>
      <c r="B264" s="69"/>
      <c r="C264" s="286" t="s">
        <v>21</v>
      </c>
      <c r="D264" s="283">
        <v>1941</v>
      </c>
      <c r="E264" s="283"/>
      <c r="F264" s="284">
        <f>0</f>
        <v>0</v>
      </c>
      <c r="G264" s="284">
        <f>0</f>
        <v>0</v>
      </c>
      <c r="H264" s="284">
        <f t="shared" si="16"/>
        <v>1941</v>
      </c>
      <c r="I264" s="284">
        <f>0</f>
        <v>0</v>
      </c>
      <c r="J264" s="127"/>
    </row>
    <row r="265" spans="1:10" ht="14.1" customHeight="1" x14ac:dyDescent="0.25">
      <c r="A265" s="223"/>
      <c r="B265" s="69"/>
      <c r="C265" s="286" t="s">
        <v>95</v>
      </c>
      <c r="D265" s="283">
        <v>1338</v>
      </c>
      <c r="E265" s="283"/>
      <c r="F265" s="284">
        <f>9.67762</f>
        <v>9.6776199999999992</v>
      </c>
      <c r="G265" s="284">
        <f>50.93344</f>
        <v>50.933439999999997</v>
      </c>
      <c r="H265" s="284">
        <f t="shared" si="16"/>
        <v>1287.06656</v>
      </c>
      <c r="I265" s="284">
        <f>149.90059</f>
        <v>149.90058999999999</v>
      </c>
      <c r="J265" s="127"/>
    </row>
    <row r="266" spans="1:10" ht="14.1" customHeight="1" x14ac:dyDescent="0.25">
      <c r="A266" s="223"/>
      <c r="B266" s="69"/>
      <c r="C266" s="288" t="s">
        <v>118</v>
      </c>
      <c r="D266" s="289">
        <v>4479</v>
      </c>
      <c r="E266" s="289"/>
      <c r="F266" s="284">
        <f>0</f>
        <v>0</v>
      </c>
      <c r="G266" s="284">
        <f>3.0156</f>
        <v>3.0156000000000001</v>
      </c>
      <c r="H266" s="284">
        <f t="shared" si="16"/>
        <v>4475.9844000000003</v>
      </c>
      <c r="I266" s="284">
        <f>4.4104</f>
        <v>4.4104000000000001</v>
      </c>
      <c r="J266" s="127"/>
    </row>
    <row r="267" spans="1:10" ht="14.1" customHeight="1" x14ac:dyDescent="0.25">
      <c r="A267" s="223"/>
      <c r="B267" s="69"/>
      <c r="C267" s="291" t="s">
        <v>56</v>
      </c>
      <c r="D267" s="292">
        <v>5500</v>
      </c>
      <c r="E267" s="292"/>
      <c r="F267" s="294">
        <f>3.933</f>
        <v>3.9329999999999998</v>
      </c>
      <c r="G267" s="294">
        <f>5.376</f>
        <v>5.3760000000000003</v>
      </c>
      <c r="H267" s="294">
        <f t="shared" si="16"/>
        <v>5494.6239999999998</v>
      </c>
      <c r="I267" s="294">
        <f>0</f>
        <v>0</v>
      </c>
      <c r="J267" s="127"/>
    </row>
    <row r="268" spans="1:10" ht="14.1" customHeight="1" x14ac:dyDescent="0.25">
      <c r="A268" s="223"/>
      <c r="B268" s="69"/>
      <c r="C268" s="274" t="s">
        <v>22</v>
      </c>
      <c r="D268" s="278">
        <v>8000</v>
      </c>
      <c r="E268" s="278"/>
      <c r="F268" s="295">
        <f>F270+F269</f>
        <v>85.128159999999994</v>
      </c>
      <c r="G268" s="295">
        <f>G270+G269</f>
        <v>131.42961</v>
      </c>
      <c r="H268" s="295">
        <f t="shared" si="16"/>
        <v>7868.5703899999999</v>
      </c>
      <c r="I268" s="295">
        <f>I270+I269</f>
        <v>216.83653000000001</v>
      </c>
      <c r="J268" s="127"/>
    </row>
    <row r="269" spans="1:10" ht="14.1" customHeight="1" x14ac:dyDescent="0.25">
      <c r="A269" s="223"/>
      <c r="B269" s="69"/>
      <c r="C269" s="286" t="s">
        <v>50</v>
      </c>
      <c r="D269" s="297"/>
      <c r="E269" s="283"/>
      <c r="F269" s="284">
        <f>0</f>
        <v>0</v>
      </c>
      <c r="G269" s="284">
        <f>0</f>
        <v>0</v>
      </c>
      <c r="H269" s="284"/>
      <c r="I269" s="284">
        <f>0</f>
        <v>0</v>
      </c>
      <c r="J269" s="127"/>
    </row>
    <row r="270" spans="1:10" ht="14.1" customHeight="1" x14ac:dyDescent="0.25">
      <c r="A270" s="223"/>
      <c r="B270" s="69"/>
      <c r="C270" s="299" t="s">
        <v>99</v>
      </c>
      <c r="D270" s="300"/>
      <c r="E270" s="302"/>
      <c r="F270" s="303">
        <f>85.12816</f>
        <v>85.128159999999994</v>
      </c>
      <c r="G270" s="303">
        <f>131.42961</f>
        <v>131.42961</v>
      </c>
      <c r="H270" s="303"/>
      <c r="I270" s="303">
        <f>216.83653</f>
        <v>216.83653000000001</v>
      </c>
      <c r="J270" s="127"/>
    </row>
    <row r="271" spans="1:10" ht="14.1" customHeight="1" x14ac:dyDescent="0.25">
      <c r="A271" s="223"/>
      <c r="B271" s="69"/>
      <c r="C271" s="291" t="s">
        <v>33</v>
      </c>
      <c r="D271" s="292">
        <v>13</v>
      </c>
      <c r="E271" s="292"/>
      <c r="F271" s="294">
        <f>0</f>
        <v>0</v>
      </c>
      <c r="G271" s="294">
        <f>0</f>
        <v>0</v>
      </c>
      <c r="H271" s="294">
        <f>D271-G271</f>
        <v>13</v>
      </c>
      <c r="I271" s="294">
        <f>0</f>
        <v>0</v>
      </c>
      <c r="J271" s="127"/>
    </row>
    <row r="272" spans="1:10" ht="14.1" customHeight="1" x14ac:dyDescent="0.25">
      <c r="A272" s="223"/>
      <c r="B272" s="69"/>
      <c r="C272" s="304" t="s">
        <v>100</v>
      </c>
      <c r="D272" s="307"/>
      <c r="E272" s="308"/>
      <c r="F272" s="294">
        <f>0.1608</f>
        <v>0.1608</v>
      </c>
      <c r="G272" s="294">
        <f>0.30564</f>
        <v>0.30564000000000002</v>
      </c>
      <c r="H272" s="294">
        <f>D272-G272</f>
        <v>-0.30564000000000002</v>
      </c>
      <c r="I272" s="294">
        <f>2.76496</f>
        <v>2.7649599999999999</v>
      </c>
      <c r="J272" s="127"/>
    </row>
    <row r="273" spans="1:10" ht="19.5" customHeight="1" x14ac:dyDescent="0.25">
      <c r="A273" s="223"/>
      <c r="B273" s="69"/>
      <c r="C273" s="310" t="s">
        <v>39</v>
      </c>
      <c r="D273" s="311">
        <f>D262+D267+D268+D271+D272</f>
        <v>28728</v>
      </c>
      <c r="E273" s="311">
        <f>E262+E267+E268+E271+E272</f>
        <v>0</v>
      </c>
      <c r="F273" s="312">
        <f t="shared" ref="F273:I273" si="17">F262+F267+F268+F271+F272</f>
        <v>98.899579999999986</v>
      </c>
      <c r="G273" s="312">
        <f t="shared" si="17"/>
        <v>191.06029000000001</v>
      </c>
      <c r="H273" s="312">
        <f>H262+H267+H268+H271+H272</f>
        <v>28536.939710000002</v>
      </c>
      <c r="I273" s="312">
        <f t="shared" si="17"/>
        <v>373.91247999999996</v>
      </c>
      <c r="J273" s="127"/>
    </row>
    <row r="274" spans="1:10" ht="14.1" customHeight="1" x14ac:dyDescent="0.25">
      <c r="A274" s="223"/>
      <c r="B274" s="69"/>
      <c r="C274" s="156" t="s">
        <v>101</v>
      </c>
      <c r="D274" s="314"/>
      <c r="E274" s="314"/>
      <c r="F274" s="3"/>
      <c r="G274" s="3"/>
      <c r="H274" s="4"/>
      <c r="I274" s="4"/>
      <c r="J274" s="127"/>
    </row>
    <row r="275" spans="1:10" ht="14.1" customHeight="1" x14ac:dyDescent="0.25">
      <c r="A275" s="223"/>
      <c r="B275" s="69"/>
      <c r="C275" s="101" t="s">
        <v>153</v>
      </c>
      <c r="D275" s="314"/>
      <c r="E275" s="314"/>
      <c r="F275" s="3"/>
      <c r="G275" s="3"/>
      <c r="H275" s="6"/>
      <c r="I275" s="4"/>
      <c r="J275" s="127"/>
    </row>
    <row r="276" spans="1:10" ht="14.1" customHeight="1" x14ac:dyDescent="0.25">
      <c r="A276" s="223"/>
      <c r="B276" s="69"/>
      <c r="C276" s="156" t="s">
        <v>154</v>
      </c>
      <c r="D276" s="314"/>
      <c r="E276" s="314"/>
      <c r="F276" s="3"/>
      <c r="G276" s="3"/>
      <c r="H276" s="4"/>
      <c r="I276" s="6"/>
      <c r="J276" s="127"/>
    </row>
    <row r="277" spans="1:10" ht="15.75" customHeight="1" x14ac:dyDescent="0.2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25">
      <c r="A278" s="223"/>
      <c r="B278" s="145" t="s">
        <v>108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23"/>
      <c r="C279" s="145" t="s">
        <v>108</v>
      </c>
      <c r="D279" s="152"/>
    </row>
    <row r="280" spans="1:10" ht="14.1" customHeight="1" x14ac:dyDescent="0.25">
      <c r="A280" s="223"/>
      <c r="B280" s="120"/>
      <c r="C280" s="266"/>
      <c r="D280" s="16"/>
      <c r="E280" s="266"/>
      <c r="F280" s="266"/>
      <c r="G280" s="266"/>
      <c r="H280" s="266"/>
      <c r="I280" s="266"/>
      <c r="J280" s="58"/>
    </row>
    <row r="281" spans="1:10" ht="14.1" customHeight="1" x14ac:dyDescent="0.25">
      <c r="A281" s="223"/>
      <c r="B281" s="69"/>
      <c r="C281" s="233" t="s">
        <v>102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23"/>
      <c r="B284" s="69"/>
      <c r="C284" s="285" t="s">
        <v>6</v>
      </c>
      <c r="D284" s="296">
        <v>2338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23"/>
      <c r="B285" s="69"/>
      <c r="C285" s="275" t="s">
        <v>86</v>
      </c>
      <c r="D285" s="46">
        <v>1549</v>
      </c>
      <c r="E285" s="145"/>
      <c r="G285" s="145"/>
      <c r="H285" s="145"/>
      <c r="I285" s="145"/>
      <c r="J285" s="127"/>
    </row>
    <row r="286" spans="1:10" ht="14.1" customHeight="1" x14ac:dyDescent="0.25">
      <c r="A286" s="223"/>
      <c r="B286" s="69"/>
      <c r="C286" s="275" t="s">
        <v>69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23"/>
      <c r="B288" s="69"/>
      <c r="C288" s="320" t="s">
        <v>116</v>
      </c>
      <c r="D288" s="320"/>
      <c r="E288" s="320"/>
      <c r="F288" s="320"/>
      <c r="G288" s="208"/>
      <c r="H288" s="208"/>
      <c r="I288" s="145"/>
      <c r="J288" s="127"/>
    </row>
    <row r="289" spans="1:10" ht="14.1" customHeight="1" x14ac:dyDescent="0.2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23"/>
      <c r="B292" s="258"/>
      <c r="C292" s="261" t="s">
        <v>15</v>
      </c>
      <c r="D292" s="261"/>
      <c r="E292" s="261"/>
      <c r="F292" s="261"/>
      <c r="G292" s="261"/>
      <c r="H292" s="261"/>
      <c r="I292" s="261"/>
      <c r="J292" s="265"/>
    </row>
    <row r="293" spans="1:10" ht="78" customHeight="1" x14ac:dyDescent="0.25">
      <c r="A293" s="223"/>
      <c r="B293" s="193"/>
      <c r="C293" s="19" t="s">
        <v>103</v>
      </c>
      <c r="D293" s="21" t="s">
        <v>104</v>
      </c>
      <c r="E293" s="19" t="s">
        <v>160</v>
      </c>
      <c r="F293" s="19" t="s">
        <v>161</v>
      </c>
      <c r="G293" s="23" t="s">
        <v>162</v>
      </c>
      <c r="H293" s="19" t="s">
        <v>163</v>
      </c>
      <c r="I293" s="251"/>
      <c r="J293" s="13"/>
    </row>
    <row r="294" spans="1:10" ht="14.1" customHeight="1" x14ac:dyDescent="0.25">
      <c r="A294" s="223"/>
      <c r="B294" s="69"/>
      <c r="C294" s="291" t="s">
        <v>105</v>
      </c>
      <c r="D294" s="197">
        <v>779</v>
      </c>
      <c r="E294" s="25">
        <f>SUM(E295:E296)</f>
        <v>0</v>
      </c>
      <c r="F294" s="25">
        <f>SUM(F295:F296)</f>
        <v>925.1269299999999</v>
      </c>
      <c r="G294" s="82">
        <f>D294-F294</f>
        <v>-146.1269299999999</v>
      </c>
      <c r="H294" s="25">
        <f>SUM(H295:H296)</f>
        <v>1023.20588</v>
      </c>
      <c r="I294" s="26"/>
      <c r="J294" s="127"/>
    </row>
    <row r="295" spans="1:10" ht="14.1" customHeight="1" x14ac:dyDescent="0.25">
      <c r="A295" s="223"/>
      <c r="B295" s="69"/>
      <c r="C295" s="28" t="s">
        <v>8</v>
      </c>
      <c r="E295" s="198">
        <f>0</f>
        <v>0</v>
      </c>
      <c r="F295" s="198">
        <f>684.21575</f>
        <v>684.21574999999996</v>
      </c>
      <c r="G295" s="199"/>
      <c r="H295" s="198">
        <f>778.94708</f>
        <v>778.94708000000003</v>
      </c>
      <c r="I295" s="145"/>
      <c r="J295" s="127"/>
    </row>
    <row r="296" spans="1:10" ht="14.1" customHeight="1" x14ac:dyDescent="0.2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244.2588</f>
        <v>244.25880000000001</v>
      </c>
      <c r="I296" s="145"/>
      <c r="J296" s="127"/>
    </row>
    <row r="297" spans="1:10" ht="14.1" customHeight="1" x14ac:dyDescent="0.25">
      <c r="A297" s="223"/>
      <c r="B297" s="69"/>
      <c r="C297" s="291" t="s">
        <v>106</v>
      </c>
      <c r="D297" s="9">
        <v>779</v>
      </c>
      <c r="E297" s="25">
        <f>SUM(E298:E299)</f>
        <v>38.213499999999996</v>
      </c>
      <c r="F297" s="25">
        <f>SUM(F298:F299)</f>
        <v>464.18790000000001</v>
      </c>
      <c r="G297" s="82">
        <f>D297-F297</f>
        <v>314.81209999999999</v>
      </c>
      <c r="H297" s="25">
        <f>SUM(H298:H299)</f>
        <v>644.22533999999996</v>
      </c>
      <c r="I297" s="26"/>
      <c r="J297" s="127"/>
    </row>
    <row r="298" spans="1:10" ht="14.1" customHeight="1" x14ac:dyDescent="0.25">
      <c r="A298" s="223"/>
      <c r="B298" s="69"/>
      <c r="C298" s="28" t="s">
        <v>8</v>
      </c>
      <c r="D298" s="41"/>
      <c r="E298" s="29">
        <f>30.889</f>
        <v>30.888999999999999</v>
      </c>
      <c r="F298" s="29">
        <f>361.1395</f>
        <v>361.1395</v>
      </c>
      <c r="G298" s="94"/>
      <c r="H298" s="29">
        <f>493.721</f>
        <v>493.721</v>
      </c>
      <c r="I298" s="145"/>
      <c r="J298" s="127"/>
    </row>
    <row r="299" spans="1:10" ht="14.1" customHeight="1" x14ac:dyDescent="0.25">
      <c r="A299" s="223"/>
      <c r="B299" s="69"/>
      <c r="C299" s="28" t="s">
        <v>11</v>
      </c>
      <c r="D299" s="244"/>
      <c r="E299" s="29">
        <f>7.3245</f>
        <v>7.3244999999999996</v>
      </c>
      <c r="F299" s="29">
        <f>103.0484</f>
        <v>103.0484</v>
      </c>
      <c r="G299" s="105"/>
      <c r="H299" s="29">
        <f>150.50434</f>
        <v>150.50434000000001</v>
      </c>
      <c r="I299" s="145"/>
      <c r="J299" s="127"/>
    </row>
    <row r="300" spans="1:10" ht="14.1" customHeight="1" x14ac:dyDescent="0.25">
      <c r="A300" s="223"/>
      <c r="B300" s="69"/>
      <c r="C300" s="291" t="s">
        <v>107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" customHeight="1" x14ac:dyDescent="0.2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" customHeight="1" x14ac:dyDescent="0.2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" customHeight="1" x14ac:dyDescent="0.25">
      <c r="A303" s="223"/>
      <c r="B303" s="69"/>
      <c r="C303" s="304" t="s">
        <v>90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23"/>
      <c r="B304" s="69"/>
      <c r="C304" s="310" t="s">
        <v>82</v>
      </c>
      <c r="D304" s="38">
        <f>D294+D297+D300</f>
        <v>2338</v>
      </c>
      <c r="E304" s="39">
        <f>E294+E297+E300+E303</f>
        <v>38.213499999999996</v>
      </c>
      <c r="F304" s="39">
        <f>F294+F297+F300+F303</f>
        <v>1389.3148299999998</v>
      </c>
      <c r="G304" s="40">
        <f>D304-F304</f>
        <v>948.6851700000002</v>
      </c>
      <c r="H304" s="39">
        <f>H294+H297+H300+H303</f>
        <v>1667.4312199999999</v>
      </c>
      <c r="I304" s="26"/>
      <c r="J304" s="127"/>
    </row>
    <row r="305" spans="1:10" ht="42" customHeight="1" x14ac:dyDescent="0.25">
      <c r="A305" s="223"/>
      <c r="B305" s="230"/>
      <c r="C305" s="322" t="s">
        <v>111</v>
      </c>
      <c r="D305" s="322"/>
      <c r="E305" s="322"/>
      <c r="F305" s="322"/>
      <c r="G305" s="322"/>
      <c r="H305" s="322"/>
      <c r="I305" s="322"/>
      <c r="J305" s="323"/>
    </row>
    <row r="306" spans="1:10" ht="42" customHeight="1" x14ac:dyDescent="0.2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25">
      <c r="A307" s="223"/>
      <c r="C307" s="145" t="s">
        <v>108</v>
      </c>
      <c r="D307" s="152"/>
    </row>
    <row r="308" spans="1:10" ht="15.6" customHeight="1" x14ac:dyDescent="0.25">
      <c r="A308" s="223"/>
      <c r="B308" s="120"/>
      <c r="C308" s="266"/>
      <c r="D308" s="16"/>
      <c r="E308" s="266"/>
      <c r="F308" s="266"/>
      <c r="G308" s="266"/>
      <c r="H308" s="266"/>
      <c r="I308" s="266"/>
      <c r="J308" s="58"/>
    </row>
    <row r="309" spans="1:10" ht="18.95" customHeight="1" x14ac:dyDescent="0.25">
      <c r="A309" s="223"/>
      <c r="B309" s="69"/>
      <c r="C309" s="233" t="s">
        <v>124</v>
      </c>
      <c r="D309" s="152"/>
      <c r="E309" s="145"/>
      <c r="G309" s="145"/>
      <c r="H309" s="145"/>
      <c r="I309" s="145"/>
      <c r="J309" s="127"/>
    </row>
    <row r="310" spans="1:10" ht="20.100000000000001" customHeight="1" x14ac:dyDescent="0.2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25">
      <c r="A311" s="223"/>
      <c r="B311" s="69"/>
      <c r="C311" s="210" t="s">
        <v>1</v>
      </c>
      <c r="D311" s="210" t="s">
        <v>125</v>
      </c>
      <c r="E311" s="212" t="s">
        <v>126</v>
      </c>
      <c r="F311" s="145"/>
      <c r="G311" s="145"/>
      <c r="H311" s="145"/>
      <c r="I311" s="145"/>
      <c r="J311" s="127"/>
    </row>
    <row r="312" spans="1:10" ht="18.95" customHeight="1" x14ac:dyDescent="0.25">
      <c r="A312" s="223"/>
      <c r="B312" s="69"/>
      <c r="C312" s="110" t="s">
        <v>6</v>
      </c>
      <c r="D312" s="231">
        <v>238</v>
      </c>
      <c r="E312" s="234">
        <v>21237</v>
      </c>
      <c r="F312" s="145"/>
      <c r="G312" s="145"/>
      <c r="H312" s="145"/>
      <c r="I312" s="145"/>
      <c r="J312" s="127"/>
    </row>
    <row r="313" spans="1:10" ht="15.95" customHeight="1" x14ac:dyDescent="0.25">
      <c r="A313" s="223"/>
      <c r="B313" s="69"/>
      <c r="C313" s="110" t="s">
        <v>86</v>
      </c>
      <c r="D313" s="231">
        <v>5437</v>
      </c>
      <c r="E313" s="234">
        <v>11256</v>
      </c>
      <c r="F313" s="221"/>
      <c r="G313" s="145"/>
      <c r="H313" s="145"/>
      <c r="I313" s="145"/>
      <c r="J313" s="127"/>
    </row>
    <row r="314" spans="1:10" ht="17.45" customHeight="1" x14ac:dyDescent="0.25">
      <c r="A314" s="223"/>
      <c r="B314" s="69"/>
      <c r="C314" s="110" t="s">
        <v>127</v>
      </c>
      <c r="D314" s="231"/>
      <c r="E314" s="234">
        <v>59844</v>
      </c>
      <c r="F314" s="145"/>
      <c r="G314" s="145"/>
      <c r="H314" s="145"/>
      <c r="I314" s="145"/>
      <c r="J314" s="127"/>
    </row>
    <row r="315" spans="1:10" ht="18.95" customHeight="1" x14ac:dyDescent="0.25">
      <c r="A315" s="223"/>
      <c r="B315" s="69"/>
      <c r="C315" s="172" t="s">
        <v>46</v>
      </c>
      <c r="D315" s="232">
        <f>D312+D313</f>
        <v>5675</v>
      </c>
      <c r="E315" s="235">
        <f>E312+E313+E314</f>
        <v>92337</v>
      </c>
      <c r="F315" s="145"/>
      <c r="G315" s="145"/>
      <c r="H315" s="145"/>
      <c r="I315" s="145"/>
      <c r="J315" s="127"/>
    </row>
    <row r="316" spans="1:10" ht="15.95" customHeight="1" x14ac:dyDescent="0.25">
      <c r="A316" s="223"/>
      <c r="B316" s="69"/>
      <c r="C316" s="320" t="s">
        <v>155</v>
      </c>
      <c r="D316" s="320"/>
      <c r="E316" s="320"/>
      <c r="F316" s="320"/>
      <c r="G316" s="208"/>
      <c r="H316" s="208"/>
      <c r="I316" s="145"/>
      <c r="J316" s="127"/>
    </row>
    <row r="317" spans="1:10" ht="14.1" customHeight="1" x14ac:dyDescent="0.2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2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" customHeight="1" x14ac:dyDescent="0.2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25">
      <c r="A320" s="223"/>
      <c r="B320" s="258"/>
      <c r="C320" s="261" t="s">
        <v>15</v>
      </c>
      <c r="D320" s="261"/>
      <c r="E320" s="261"/>
      <c r="F320" s="261"/>
      <c r="G320" s="261"/>
      <c r="H320" s="261"/>
      <c r="I320" s="261"/>
      <c r="J320" s="265"/>
    </row>
    <row r="321" spans="1:10" ht="42" customHeight="1" x14ac:dyDescent="0.25">
      <c r="A321" s="223"/>
      <c r="B321" s="193"/>
      <c r="C321" s="19" t="s">
        <v>103</v>
      </c>
      <c r="D321" s="19" t="s">
        <v>1</v>
      </c>
      <c r="E321" s="19" t="s">
        <v>160</v>
      </c>
      <c r="F321" s="19" t="s">
        <v>161</v>
      </c>
      <c r="G321" s="19" t="s">
        <v>162</v>
      </c>
      <c r="H321" s="19" t="s">
        <v>163</v>
      </c>
      <c r="I321" s="251"/>
      <c r="J321" s="13"/>
    </row>
    <row r="322" spans="1:10" ht="18.600000000000001" customHeight="1" x14ac:dyDescent="0.25">
      <c r="A322" s="223"/>
      <c r="B322" s="69"/>
      <c r="C322" s="236" t="s">
        <v>133</v>
      </c>
      <c r="D322" s="237">
        <v>238</v>
      </c>
      <c r="E322" s="29">
        <f>1.84058</f>
        <v>1.8405800000000001</v>
      </c>
      <c r="F322" s="29">
        <f>32.15248</f>
        <v>32.152479999999997</v>
      </c>
      <c r="G322" s="238">
        <f>D322-F322</f>
        <v>205.84752</v>
      </c>
      <c r="H322" s="29">
        <f>52.29718</f>
        <v>52.297179999999997</v>
      </c>
      <c r="I322" s="242"/>
      <c r="J322" s="127"/>
    </row>
    <row r="323" spans="1:10" ht="17.45" customHeight="1" x14ac:dyDescent="0.25">
      <c r="A323" s="223"/>
      <c r="B323" s="69"/>
      <c r="C323" s="239" t="s">
        <v>134</v>
      </c>
      <c r="D323" s="240">
        <v>21237</v>
      </c>
      <c r="E323" s="29">
        <f>12.00295</f>
        <v>12.00295</v>
      </c>
      <c r="F323" s="29">
        <f>40.61886</f>
        <v>40.618859999999998</v>
      </c>
      <c r="G323" s="241">
        <f>D323-F323</f>
        <v>21196.381140000001</v>
      </c>
      <c r="H323" s="29">
        <f>57.41097</f>
        <v>57.410969999999999</v>
      </c>
      <c r="I323" s="26"/>
      <c r="J323" s="127"/>
    </row>
    <row r="324" spans="1:10" ht="17.100000000000001" customHeight="1" x14ac:dyDescent="0.25">
      <c r="A324" s="223"/>
      <c r="B324" s="69"/>
      <c r="C324" s="310" t="s">
        <v>82</v>
      </c>
      <c r="D324" s="229">
        <f>D322+D323</f>
        <v>21475</v>
      </c>
      <c r="E324" s="39">
        <f>E323+E322</f>
        <v>13.843530000000001</v>
      </c>
      <c r="F324" s="39">
        <f>F323+F322</f>
        <v>72.771339999999995</v>
      </c>
      <c r="G324" s="39">
        <f>G323+G322</f>
        <v>21402.228660000001</v>
      </c>
      <c r="H324" s="39">
        <f>H323+H322</f>
        <v>109.70814999999999</v>
      </c>
      <c r="I324" s="26"/>
      <c r="J324" s="127"/>
    </row>
    <row r="325" spans="1:10" ht="22.5" customHeight="1" x14ac:dyDescent="0.25">
      <c r="A325" s="223"/>
      <c r="B325" s="69"/>
      <c r="C325" s="318" t="s">
        <v>156</v>
      </c>
      <c r="D325" s="318"/>
      <c r="E325" s="318"/>
      <c r="F325" s="318"/>
      <c r="G325" s="318"/>
      <c r="H325" s="318"/>
      <c r="I325" s="318"/>
      <c r="J325" s="319"/>
    </row>
    <row r="326" spans="1:10" ht="42" customHeight="1" x14ac:dyDescent="0.2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25"/>
    <row r="328" spans="1:10" ht="14.1" customHeight="1" x14ac:dyDescent="0.25">
      <c r="A328" s="223"/>
      <c r="C328" s="145" t="s">
        <v>108</v>
      </c>
      <c r="D328" s="152"/>
    </row>
    <row r="329" spans="1:10" ht="0" hidden="1" customHeight="1" x14ac:dyDescent="0.25">
      <c r="A329" s="223"/>
      <c r="B329" s="120"/>
      <c r="C329" s="266"/>
      <c r="D329" s="16"/>
      <c r="E329" s="266"/>
      <c r="F329" s="266"/>
      <c r="G329" s="266"/>
      <c r="H329" s="266"/>
      <c r="I329" s="266"/>
      <c r="J329" s="58"/>
    </row>
    <row r="330" spans="1:10" ht="0" hidden="1" customHeight="1" x14ac:dyDescent="0.25">
      <c r="A330" s="223"/>
      <c r="B330" s="69"/>
      <c r="C330" s="233" t="s">
        <v>124</v>
      </c>
      <c r="D330" s="152"/>
      <c r="E330" s="145"/>
      <c r="G330" s="145"/>
      <c r="H330" s="145"/>
      <c r="I330" s="145"/>
      <c r="J330" s="127"/>
    </row>
    <row r="331" spans="1:10" ht="0" hidden="1" customHeight="1" x14ac:dyDescent="0.2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25">
      <c r="A332" s="223"/>
      <c r="B332" s="69"/>
      <c r="C332" s="210" t="s">
        <v>1</v>
      </c>
      <c r="D332" s="210" t="s">
        <v>125</v>
      </c>
      <c r="E332" s="212" t="s">
        <v>126</v>
      </c>
      <c r="F332" s="145"/>
      <c r="G332" s="145"/>
      <c r="H332" s="145"/>
      <c r="I332" s="145"/>
      <c r="J332" s="127"/>
    </row>
    <row r="333" spans="1:10" ht="0" hidden="1" customHeight="1" x14ac:dyDescent="0.2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25">
      <c r="A334" s="223"/>
      <c r="B334" s="69"/>
      <c r="C334" s="110" t="s">
        <v>86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25">
      <c r="A335" s="223"/>
      <c r="B335" s="69"/>
      <c r="C335" s="110" t="s">
        <v>127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2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25">
      <c r="A337" s="223"/>
      <c r="B337" s="69"/>
      <c r="C337" s="317" t="s">
        <v>128</v>
      </c>
      <c r="D337" s="317"/>
      <c r="E337" s="317"/>
      <c r="F337" s="317"/>
      <c r="G337" s="208"/>
      <c r="H337" s="208"/>
      <c r="I337" s="145"/>
      <c r="J337" s="127"/>
    </row>
    <row r="338" spans="1:10" ht="0" hidden="1" customHeight="1" x14ac:dyDescent="0.2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2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2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25">
      <c r="A341" s="223"/>
      <c r="B341" s="258"/>
      <c r="C341" s="261" t="s">
        <v>15</v>
      </c>
      <c r="D341" s="261"/>
      <c r="E341" s="261"/>
      <c r="F341" s="261"/>
      <c r="G341" s="261"/>
      <c r="H341" s="261"/>
      <c r="I341" s="261"/>
      <c r="J341" s="265"/>
    </row>
    <row r="342" spans="1:10" ht="0" hidden="1" customHeight="1" x14ac:dyDescent="0.25">
      <c r="A342" s="223"/>
      <c r="B342" s="193"/>
      <c r="C342" s="19" t="s">
        <v>103</v>
      </c>
      <c r="D342" s="19" t="s">
        <v>1</v>
      </c>
      <c r="E342" s="250" t="s">
        <v>129</v>
      </c>
      <c r="F342" s="250" t="s">
        <v>130</v>
      </c>
      <c r="G342" s="250" t="s">
        <v>131</v>
      </c>
      <c r="H342" s="224" t="s">
        <v>132</v>
      </c>
      <c r="I342" s="251"/>
      <c r="J342" s="13"/>
    </row>
    <row r="343" spans="1:10" ht="0" hidden="1" customHeight="1" x14ac:dyDescent="0.25">
      <c r="A343" s="223"/>
      <c r="B343" s="69"/>
      <c r="C343" s="225" t="s">
        <v>133</v>
      </c>
      <c r="D343" s="226">
        <v>248</v>
      </c>
      <c r="E343" s="227"/>
      <c r="F343" s="227"/>
      <c r="G343" s="294">
        <f>D343-F343</f>
        <v>248</v>
      </c>
      <c r="H343" s="227"/>
      <c r="I343" s="26"/>
      <c r="J343" s="127"/>
    </row>
    <row r="344" spans="1:10" ht="0" hidden="1" customHeight="1" x14ac:dyDescent="0.25">
      <c r="A344" s="223"/>
      <c r="B344" s="69"/>
      <c r="C344" s="291" t="s">
        <v>134</v>
      </c>
      <c r="D344" s="228">
        <v>22048</v>
      </c>
      <c r="E344" s="227"/>
      <c r="F344" s="227"/>
      <c r="G344" s="294">
        <f>D344-F344</f>
        <v>22048</v>
      </c>
      <c r="H344" s="227"/>
      <c r="I344" s="26"/>
      <c r="J344" s="127"/>
    </row>
    <row r="345" spans="1:10" ht="0" hidden="1" customHeight="1" x14ac:dyDescent="0.25">
      <c r="A345" s="223"/>
      <c r="B345" s="69"/>
      <c r="C345" s="310" t="s">
        <v>82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25">
      <c r="A346" s="223"/>
      <c r="B346" s="69"/>
      <c r="C346" s="318" t="s">
        <v>135</v>
      </c>
      <c r="D346" s="318"/>
      <c r="E346" s="318"/>
      <c r="F346" s="318"/>
      <c r="G346" s="318"/>
      <c r="H346" s="318"/>
      <c r="I346" s="318"/>
      <c r="J346" s="319"/>
    </row>
    <row r="347" spans="1:10" ht="0" hidden="1" customHeight="1" x14ac:dyDescent="0.2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25"/>
    <row r="349" spans="1:10" ht="0" hidden="1" customHeight="1" x14ac:dyDescent="0.25"/>
    <row r="350" spans="1:10" ht="0" hidden="1" customHeight="1" x14ac:dyDescent="0.2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13" ht="16.5" customHeight="1" x14ac:dyDescent="0.2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4&amp;R26.01.2026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2026-01-27T13:45:59Z</dcterms:modified>
</cp:coreProperties>
</file>