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evgul\Settings\Desktop\"/>
    </mc:Choice>
  </mc:AlternateContent>
  <xr:revisionPtr revIDLastSave="0" documentId="8_{43AA5ED7-F54C-474C-9FAF-C3BB12290FE7}" xr6:coauthVersionLast="47" xr6:coauthVersionMax="47" xr10:uidLastSave="{00000000-0000-0000-0000-000000000000}"/>
  <bookViews>
    <workbookView xWindow="5325" yWindow="2910" windowWidth="38700" windowHeight="1543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2" i="1" l="1"/>
  <c r="F422" i="1"/>
  <c r="G422" i="1" s="1"/>
  <c r="E422" i="1"/>
  <c r="H421" i="1"/>
  <c r="H419" i="1" s="1"/>
  <c r="F421" i="1"/>
  <c r="E421" i="1"/>
  <c r="H420" i="1"/>
  <c r="F420" i="1"/>
  <c r="E420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G390" i="1"/>
  <c r="H390" i="1" s="1"/>
  <c r="F390" i="1"/>
  <c r="I389" i="1"/>
  <c r="H389" i="1"/>
  <c r="G389" i="1"/>
  <c r="F389" i="1"/>
  <c r="I388" i="1"/>
  <c r="G388" i="1"/>
  <c r="G386" i="1" s="1"/>
  <c r="F388" i="1"/>
  <c r="I387" i="1"/>
  <c r="I386" i="1" s="1"/>
  <c r="G387" i="1"/>
  <c r="F387" i="1"/>
  <c r="F386" i="1" s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G383" i="1"/>
  <c r="F383" i="1"/>
  <c r="F380" i="1" s="1"/>
  <c r="I382" i="1"/>
  <c r="H382" i="1"/>
  <c r="G382" i="1"/>
  <c r="F382" i="1"/>
  <c r="I381" i="1"/>
  <c r="H381" i="1"/>
  <c r="H380" i="1" s="1"/>
  <c r="G381" i="1"/>
  <c r="F381" i="1"/>
  <c r="G380" i="1"/>
  <c r="D380" i="1"/>
  <c r="D391" i="1" s="1"/>
  <c r="H372" i="1"/>
  <c r="F372" i="1"/>
  <c r="H354" i="1"/>
  <c r="D354" i="1"/>
  <c r="G354" i="1" s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F350" i="1"/>
  <c r="F354" i="1" s="1"/>
  <c r="E350" i="1"/>
  <c r="E354" i="1" s="1"/>
  <c r="D343" i="1"/>
  <c r="D299" i="1"/>
  <c r="H298" i="1"/>
  <c r="F298" i="1"/>
  <c r="G298" i="1" s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F251" i="1"/>
  <c r="E251" i="1"/>
  <c r="H250" i="1"/>
  <c r="F250" i="1"/>
  <c r="F249" i="1" s="1"/>
  <c r="E250" i="1"/>
  <c r="H249" i="1"/>
  <c r="H253" i="1" s="1"/>
  <c r="E249" i="1"/>
  <c r="E253" i="1" s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H207" i="1" s="1"/>
  <c r="F204" i="1"/>
  <c r="G204" i="1" s="1"/>
  <c r="E204" i="1"/>
  <c r="E207" i="1" s="1"/>
  <c r="E184" i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G177" i="1"/>
  <c r="F177" i="1"/>
  <c r="E177" i="1"/>
  <c r="H176" i="1"/>
  <c r="F176" i="1"/>
  <c r="E176" i="1"/>
  <c r="H175" i="1"/>
  <c r="F175" i="1"/>
  <c r="E175" i="1"/>
  <c r="I148" i="1"/>
  <c r="G148" i="1"/>
  <c r="H148" i="1" s="1"/>
  <c r="F148" i="1"/>
  <c r="I147" i="1"/>
  <c r="G147" i="1"/>
  <c r="H147" i="1" s="1"/>
  <c r="F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G140" i="1"/>
  <c r="F140" i="1"/>
  <c r="F139" i="1" s="1"/>
  <c r="I139" i="1"/>
  <c r="G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F134" i="1" s="1"/>
  <c r="G134" i="1"/>
  <c r="G133" i="1" s="1"/>
  <c r="E134" i="1"/>
  <c r="E133" i="1" s="1"/>
  <c r="D134" i="1"/>
  <c r="D133" i="1" s="1"/>
  <c r="I132" i="1"/>
  <c r="H132" i="1"/>
  <c r="F132" i="1"/>
  <c r="I131" i="1"/>
  <c r="H131" i="1"/>
  <c r="G131" i="1"/>
  <c r="F131" i="1"/>
  <c r="I130" i="1"/>
  <c r="G130" i="1"/>
  <c r="H130" i="1" s="1"/>
  <c r="F130" i="1"/>
  <c r="I129" i="1"/>
  <c r="H129" i="1"/>
  <c r="H128" i="1" s="1"/>
  <c r="G129" i="1"/>
  <c r="G128" i="1" s="1"/>
  <c r="G150" i="1" s="1"/>
  <c r="F129" i="1"/>
  <c r="I128" i="1"/>
  <c r="I150" i="1" s="1"/>
  <c r="F128" i="1"/>
  <c r="E128" i="1"/>
  <c r="D128" i="1"/>
  <c r="C126" i="1"/>
  <c r="I106" i="1"/>
  <c r="H106" i="1"/>
  <c r="G106" i="1"/>
  <c r="F106" i="1"/>
  <c r="I105" i="1"/>
  <c r="G105" i="1"/>
  <c r="H105" i="1" s="1"/>
  <c r="F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I96" i="1" s="1"/>
  <c r="I95" i="1" s="1"/>
  <c r="H98" i="1"/>
  <c r="G98" i="1"/>
  <c r="F98" i="1"/>
  <c r="I97" i="1"/>
  <c r="G97" i="1"/>
  <c r="G96" i="1" s="1"/>
  <c r="G95" i="1" s="1"/>
  <c r="F97" i="1"/>
  <c r="F96" i="1"/>
  <c r="E96" i="1"/>
  <c r="D96" i="1"/>
  <c r="F95" i="1"/>
  <c r="E95" i="1"/>
  <c r="D95" i="1"/>
  <c r="I94" i="1"/>
  <c r="G94" i="1"/>
  <c r="H94" i="1" s="1"/>
  <c r="H92" i="1" s="1"/>
  <c r="F94" i="1"/>
  <c r="I93" i="1"/>
  <c r="I92" i="1" s="1"/>
  <c r="H93" i="1"/>
  <c r="G93" i="1"/>
  <c r="F93" i="1"/>
  <c r="F92" i="1" s="1"/>
  <c r="F107" i="1" s="1"/>
  <c r="G92" i="1"/>
  <c r="G107" i="1" s="1"/>
  <c r="E92" i="1"/>
  <c r="E107" i="1" s="1"/>
  <c r="D92" i="1"/>
  <c r="D107" i="1" s="1"/>
  <c r="C89" i="1"/>
  <c r="H85" i="1"/>
  <c r="F85" i="1"/>
  <c r="D85" i="1"/>
  <c r="G61" i="1"/>
  <c r="G60" i="1"/>
  <c r="H55" i="1"/>
  <c r="I32" i="1" s="1"/>
  <c r="I27" i="1" s="1"/>
  <c r="G55" i="1"/>
  <c r="F55" i="1"/>
  <c r="E55" i="1"/>
  <c r="E44" i="1"/>
  <c r="I43" i="1"/>
  <c r="H43" i="1"/>
  <c r="G43" i="1"/>
  <c r="F43" i="1"/>
  <c r="H42" i="1"/>
  <c r="I41" i="1"/>
  <c r="H41" i="1"/>
  <c r="G41" i="1"/>
  <c r="F41" i="1"/>
  <c r="H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F34" i="1" s="1"/>
  <c r="E35" i="1"/>
  <c r="D34" i="1"/>
  <c r="I33" i="1"/>
  <c r="G33" i="1"/>
  <c r="H33" i="1" s="1"/>
  <c r="F33" i="1"/>
  <c r="H32" i="1"/>
  <c r="G32" i="1"/>
  <c r="F32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H27" i="1" s="1"/>
  <c r="G28" i="1"/>
  <c r="F28" i="1"/>
  <c r="F27" i="1" s="1"/>
  <c r="G27" i="1"/>
  <c r="E27" i="1"/>
  <c r="D27" i="1"/>
  <c r="D26" i="1" s="1"/>
  <c r="E26" i="1"/>
  <c r="I25" i="1"/>
  <c r="H25" i="1"/>
  <c r="H23" i="1" s="1"/>
  <c r="G25" i="1"/>
  <c r="F25" i="1"/>
  <c r="F23" i="1" s="1"/>
  <c r="I24" i="1"/>
  <c r="I23" i="1" s="1"/>
  <c r="G24" i="1"/>
  <c r="H24" i="1" s="1"/>
  <c r="F24" i="1"/>
  <c r="E23" i="1"/>
  <c r="D23" i="1"/>
  <c r="D44" i="1" s="1"/>
  <c r="H16" i="1"/>
  <c r="F16" i="1"/>
  <c r="D16" i="1"/>
  <c r="I34" i="1" l="1"/>
  <c r="I26" i="1" s="1"/>
  <c r="I44" i="1" s="1"/>
  <c r="G34" i="1"/>
  <c r="H34" i="1" s="1"/>
  <c r="H26" i="1" s="1"/>
  <c r="H44" i="1" s="1"/>
  <c r="F184" i="1"/>
  <c r="G184" i="1" s="1"/>
  <c r="I107" i="1"/>
  <c r="F133" i="1"/>
  <c r="H184" i="1"/>
  <c r="H134" i="1"/>
  <c r="G249" i="1"/>
  <c r="F253" i="1"/>
  <c r="G253" i="1" s="1"/>
  <c r="F44" i="1"/>
  <c r="H391" i="1"/>
  <c r="F423" i="1"/>
  <c r="G413" i="1"/>
  <c r="F26" i="1"/>
  <c r="D150" i="1"/>
  <c r="F391" i="1"/>
  <c r="H386" i="1"/>
  <c r="G391" i="1"/>
  <c r="F150" i="1"/>
  <c r="F299" i="1"/>
  <c r="G299" i="1" s="1"/>
  <c r="G295" i="1"/>
  <c r="G26" i="1"/>
  <c r="E150" i="1"/>
  <c r="H139" i="1"/>
  <c r="G23" i="1"/>
  <c r="G175" i="1"/>
  <c r="H97" i="1"/>
  <c r="H96" i="1" s="1"/>
  <c r="H95" i="1" s="1"/>
  <c r="H107" i="1" s="1"/>
  <c r="G350" i="1"/>
  <c r="G44" i="1" l="1"/>
  <c r="H133" i="1"/>
  <c r="H150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<sst xmlns="http://schemas.openxmlformats.org/spreadsheetml/2006/main" count="359" uniqueCount="152">
  <si>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</si>
  <si>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</si>
  <si>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</si>
  <si>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</si>
  <si>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</si>
  <si>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</si>
  <si>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</si>
  <si>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</si>
  <si>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</si>
  <si>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</si>
  <si>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</si>
  <si>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</si>
  <si>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</si>
  <si>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</si>
  <si>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</si>
  <si>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</si>
  <si>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</si>
  <si>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</si>
  <si>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</si>
  <si>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</si>
  <si>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</si>
  <si>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</si>
  <si>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</si>
  <si>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</si>
  <si>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</si>
  <si>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</si>
  <si>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</si>
  <si>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</si>
  <si>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</si>
  <si>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</si>
  <si>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</si>
  <si>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</si>
  <si>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</si>
  <si>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</si>
  <si>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</si>
  <si>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</si>
  <si>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</si>
  <si>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</si>
  <si>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</si>
  <si>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</si>
  <si>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</si>
  <si>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</si>
  <si>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</si>
  <si>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</si>
  <si>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</si>
  <si>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</si>
  <si>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</si>
  <si>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</si>
  <si>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</si>
  <si>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</si>
  <si>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</si>
  <si>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</si>
  <si>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</si>
  <si>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</si>
  <si>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</si>
  <si>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</si>
  <si>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</si>
  <si>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</si>
  <si>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</si>
  <si>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</si>
  <si>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</si>
  <si>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</si>
  <si>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</si>
  <si>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</si>
  <si>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</si>
  <si>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</si>
  <si>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</si>
  <si>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</si>
  <si>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</si>
  <si>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</si>
  <si>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</si>
  <si>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</si>
  <si>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</si>
  <si>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</si>
  <si>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</si>
  <si>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</si>
  <si>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</si>
  <si>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</si>
  <si>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</si>
  <si>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</si>
  <si>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</si>
  <si>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</si>
  <si>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</si>
  <si>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</si>
  <si>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</si>
  <si>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</si>
  <si>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</si>
  <si>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</si>
  <si>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</si>
  <si>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</si>
  <si>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</si>
  <si>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</si>
  <si>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</si>
  <si>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</si>
  <si>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</si>
  <si>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</si>
  <si>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</si>
  <si>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</si>
  <si>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</si>
  <si>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</si>
  <si>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</si>
  <si>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</si>
  <si>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</si>
  <si>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</si>
  <si>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</si>
  <si>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</si>
  <si>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</si>
  <si>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</si>
  <si>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</si>
  <si>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</si>
  <si>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</si>
  <si>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</si>
  <si>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</si>
  <si>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</si>
  <si>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</si>
  <si>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</si>
  <si>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</si>
  <si>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</si>
  <si>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</si>
  <si>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</si>
  <si>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</si>
  <si>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</si>
  <si>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</si>
  <si>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</si>
  <si>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</si>
  <si>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</si>
  <si>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</si>
  <si>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</si>
  <si>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</si>
  <si>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</si>
  <si>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</si>
  <si>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2 000 tonn er overført fra ubenyttet tredjelandskvoter fra Norges økonomiske til norsk totalkvote og fordelt til åpen gruppe og fartøy i lukket gruppe med hjemmelslengde under 11 meter </t>
    </r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</si>
  <si>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</si>
  <si>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</si>
  <si>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</si>
  <si>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</si>
  <si>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</si>
  <si>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</si>
  <si>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</si>
  <si>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</si>
  <si>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</si>
  <si>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</si>
  <si>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</si>
  <si>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</si>
  <si>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t>FANGST UKE 7</t>
  </si>
  <si>
    <t>FANGST T.O.M UKE 7</t>
  </si>
  <si>
    <t>RESTKVOTER UKE 7</t>
  </si>
  <si>
    <t>FANGST T.O.M UKE 7 2023</t>
  </si>
  <si>
    <r>
      <t xml:space="preserve">3 </t>
    </r>
    <r>
      <rPr>
        <sz val="9"/>
        <color indexed="8"/>
        <rFont val="Calibri"/>
        <family val="2"/>
      </rPr>
      <t>Registrert rekreasjonsfiske utgjør 54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</si>
  <si>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</si>
  <si>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</si>
  <si>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81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</si>
</sst>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70" zoomScaleNormal="85" zoomScaleSheetLayoutView="100" zoomScalePageLayoutView="70" workbookViewId="0">
      <selection activeCell="F8" sqref="F8"/>
    </sheetView>
  </sheetViews>
  <sheetFormatPr baseColWidth="10"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0" t="s">
        <v>124</v>
      </c>
      <c r="C2" s="301"/>
      <c r="D2" s="301"/>
      <c r="E2" s="301"/>
      <c r="F2" s="301"/>
      <c r="G2" s="301"/>
      <c r="H2" s="301"/>
      <c r="I2" s="301"/>
      <c r="J2" s="302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3"/>
      <c r="C9" s="304"/>
      <c r="D9" s="304"/>
      <c r="E9" s="304"/>
      <c r="F9" s="304"/>
      <c r="G9" s="304"/>
      <c r="H9" s="304"/>
      <c r="I9" s="304"/>
      <c r="J9" s="30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7" t="s">
        <v>1</v>
      </c>
      <c r="D11" s="298"/>
      <c r="E11" s="297" t="s">
        <v>2</v>
      </c>
      <c r="F11" s="298"/>
      <c r="G11" s="297" t="s">
        <v>3</v>
      </c>
      <c r="H11" s="298"/>
      <c r="I11" s="178"/>
      <c r="J11" s="242"/>
    </row>
    <row r="12" spans="1:10" ht="14.1" customHeight="1" x14ac:dyDescent="0.25">
      <c r="A12" s="1"/>
      <c r="B12" s="252"/>
      <c r="C12" s="99"/>
      <c r="D12" s="99"/>
      <c r="E12" s="99" t="s">
        <v>4</v>
      </c>
      <c r="F12" s="114">
        <v>62169</v>
      </c>
      <c r="G12" s="115" t="s">
        <v>5</v>
      </c>
      <c r="H12" s="114">
        <v>21768</v>
      </c>
      <c r="I12" s="178"/>
      <c r="J12" s="242"/>
    </row>
    <row r="13" spans="1:10" ht="15.75" customHeight="1" x14ac:dyDescent="0.25">
      <c r="A13" s="1"/>
      <c r="B13" s="252"/>
      <c r="C13" s="115" t="s">
        <v>6</v>
      </c>
      <c r="D13" s="117">
        <v>212124</v>
      </c>
      <c r="E13" s="115" t="s">
        <v>7</v>
      </c>
      <c r="F13" s="117">
        <v>134109</v>
      </c>
      <c r="G13" s="115" t="s">
        <v>8</v>
      </c>
      <c r="H13" s="117">
        <v>121832</v>
      </c>
      <c r="I13" s="178"/>
      <c r="J13" s="242"/>
    </row>
    <row r="14" spans="1:10" ht="14.25" customHeight="1" x14ac:dyDescent="0.25">
      <c r="A14" s="1"/>
      <c r="B14" s="252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15290</v>
      </c>
      <c r="I14" s="178"/>
      <c r="J14" s="242"/>
    </row>
    <row r="15" spans="1:10" ht="15.75" customHeight="1" x14ac:dyDescent="0.25">
      <c r="A15" s="1"/>
      <c r="B15" s="252"/>
      <c r="C15" s="115" t="s">
        <v>74</v>
      </c>
      <c r="D15" s="117">
        <v>62179</v>
      </c>
      <c r="E15" s="147"/>
      <c r="F15" s="166"/>
      <c r="G15" s="165" t="s">
        <v>12</v>
      </c>
      <c r="H15" s="289">
        <v>11040</v>
      </c>
      <c r="I15" s="178"/>
      <c r="J15" s="242"/>
    </row>
    <row r="16" spans="1:10" ht="14.1" customHeight="1" x14ac:dyDescent="0.25">
      <c r="A16" s="1"/>
      <c r="B16" s="252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214124</v>
      </c>
      <c r="G16" s="177" t="s">
        <v>7</v>
      </c>
      <c r="H16" s="189">
        <f>SUM(H12:H15)</f>
        <v>169930</v>
      </c>
      <c r="J16" s="242"/>
    </row>
    <row r="17" spans="1:10" ht="15" customHeight="1" x14ac:dyDescent="0.25">
      <c r="A17" s="101"/>
      <c r="B17" s="24"/>
      <c r="C17" s="101" t="s">
        <v>131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09"/>
      <c r="F18" s="270"/>
      <c r="G18" s="270"/>
      <c r="H18" s="270"/>
      <c r="I18" s="270"/>
      <c r="J18" s="184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2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f>D24+D25</f>
        <v>62169</v>
      </c>
      <c r="E23" s="28">
        <f>E24+E25</f>
        <v>60542</v>
      </c>
      <c r="F23" s="28">
        <f t="shared" ref="F23:I23" si="0">F25+F24</f>
        <v>1375.0136400000001</v>
      </c>
      <c r="G23" s="28">
        <f t="shared" si="0"/>
        <v>13297.921329999999</v>
      </c>
      <c r="H23" s="11">
        <f t="shared" si="0"/>
        <v>47244.078670000003</v>
      </c>
      <c r="I23" s="11">
        <f t="shared" si="0"/>
        <v>13244.897299999999</v>
      </c>
      <c r="J23" s="242"/>
    </row>
    <row r="24" spans="1:10" ht="14.1" customHeight="1" x14ac:dyDescent="0.25">
      <c r="A24" s="1"/>
      <c r="B24" s="252"/>
      <c r="C24" s="44" t="s">
        <v>20</v>
      </c>
      <c r="D24" s="45">
        <v>61419</v>
      </c>
      <c r="E24" s="45">
        <v>59772</v>
      </c>
      <c r="F24" s="23">
        <f>1373.69964</f>
        <v>1373.69964</v>
      </c>
      <c r="G24" s="23">
        <f>13198.15783</f>
        <v>13198.15783</v>
      </c>
      <c r="H24" s="23">
        <f>E24-G24</f>
        <v>46573.842170000004</v>
      </c>
      <c r="I24" s="23">
        <f>13194.2033</f>
        <v>13194.203299999999</v>
      </c>
      <c r="J24" s="242"/>
    </row>
    <row r="25" spans="1:10" ht="14.1" customHeight="1" x14ac:dyDescent="0.25">
      <c r="A25" s="1"/>
      <c r="B25" s="252"/>
      <c r="C25" s="48" t="s">
        <v>21</v>
      </c>
      <c r="D25" s="49">
        <v>750</v>
      </c>
      <c r="E25" s="49">
        <v>770</v>
      </c>
      <c r="F25" s="171">
        <f>1.314</f>
        <v>1.3140000000000001</v>
      </c>
      <c r="G25" s="23">
        <f>99.7635</f>
        <v>99.763499999999993</v>
      </c>
      <c r="H25" s="23">
        <f>E25-G25</f>
        <v>670.23649999999998</v>
      </c>
      <c r="I25" s="23">
        <f>50.694</f>
        <v>50.694000000000003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f>D27+D33+D34</f>
        <v>138600</v>
      </c>
      <c r="E26" s="28">
        <f>E27+E33+E34</f>
        <v>144301</v>
      </c>
      <c r="F26" s="28">
        <f t="shared" ref="F26:I26" si="1">F34+F33+F27</f>
        <v>10297.08986</v>
      </c>
      <c r="G26" s="11">
        <f t="shared" si="1"/>
        <v>28682.08683</v>
      </c>
      <c r="H26" s="11">
        <f t="shared" si="1"/>
        <v>115618.91317000001</v>
      </c>
      <c r="I26" s="11">
        <f t="shared" si="1"/>
        <v>27409.18852</v>
      </c>
      <c r="J26" s="242"/>
    </row>
    <row r="27" spans="1:10" ht="15" customHeight="1" x14ac:dyDescent="0.25">
      <c r="A27" s="51"/>
      <c r="B27" s="53"/>
      <c r="C27" s="56" t="s">
        <v>23</v>
      </c>
      <c r="D27" s="58">
        <f>D28+D29+D30+D31+D32</f>
        <v>107695</v>
      </c>
      <c r="E27" s="58">
        <f>E28+E29+E30+E31+E32</f>
        <v>112531</v>
      </c>
      <c r="F27" s="132">
        <f>F28+F29+F30+F31+F32</f>
        <v>9740.0725299999995</v>
      </c>
      <c r="G27" s="132">
        <f t="shared" ref="G27:I27" si="2">G28+G29+G30+G31+G32</f>
        <v>24336.659759999999</v>
      </c>
      <c r="H27" s="132">
        <f t="shared" si="2"/>
        <v>88194.340240000005</v>
      </c>
      <c r="I27" s="132">
        <f t="shared" si="2"/>
        <v>19981.510699999999</v>
      </c>
      <c r="J27" s="242"/>
    </row>
    <row r="28" spans="1:10" ht="14.1" customHeight="1" x14ac:dyDescent="0.25">
      <c r="A28" s="197"/>
      <c r="B28" s="182"/>
      <c r="C28" s="62" t="s">
        <v>24</v>
      </c>
      <c r="D28" s="63">
        <v>26675</v>
      </c>
      <c r="E28" s="63">
        <v>28514</v>
      </c>
      <c r="F28" s="203">
        <f>1601.49551</f>
        <v>1601.49551</v>
      </c>
      <c r="G28" s="127">
        <f>4712.02854 - F56</f>
        <v>4712.0285400000002</v>
      </c>
      <c r="H28" s="127">
        <f t="shared" ref="H28:H40" si="3">E28-G28</f>
        <v>23801.971460000001</v>
      </c>
      <c r="I28" s="127">
        <f>4428.85382 - H56</f>
        <v>4428.8538200000003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28632</v>
      </c>
      <c r="E29" s="63">
        <v>29544</v>
      </c>
      <c r="F29" s="127">
        <f>2400.37175</f>
        <v>2400.3717499999998</v>
      </c>
      <c r="G29" s="127">
        <f>7768.49836 - F57</f>
        <v>7768.4983599999996</v>
      </c>
      <c r="H29" s="127">
        <f t="shared" si="3"/>
        <v>21775.501640000002</v>
      </c>
      <c r="I29" s="127">
        <f>6769.57346 - H57</f>
        <v>6769.5734599999996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25668</v>
      </c>
      <c r="E30" s="63">
        <v>27123</v>
      </c>
      <c r="F30" s="127">
        <f>2820.3302</f>
        <v>2820.3301999999999</v>
      </c>
      <c r="G30" s="127">
        <f>6480.1324 - F58</f>
        <v>6480.1324000000004</v>
      </c>
      <c r="H30" s="127">
        <f t="shared" si="3"/>
        <v>20642.867599999998</v>
      </c>
      <c r="I30" s="127">
        <f>4507.03765 - H58</f>
        <v>4507.0376500000002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18848</v>
      </c>
      <c r="E31" s="63">
        <v>19250</v>
      </c>
      <c r="F31" s="127">
        <f>2917.87507</f>
        <v>2917.8750700000001</v>
      </c>
      <c r="G31" s="127">
        <f>5376.00046 - F59</f>
        <v>5376.0004600000002</v>
      </c>
      <c r="H31" s="127">
        <f t="shared" si="3"/>
        <v>13873.999540000001</v>
      </c>
      <c r="I31" s="127">
        <f>4276.04577 - H59</f>
        <v>4276.0457699999997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16923</v>
      </c>
      <c r="E33" s="58">
        <v>16785</v>
      </c>
      <c r="F33" s="132">
        <f>192.40108</f>
        <v>192.40108000000001</v>
      </c>
      <c r="G33" s="132">
        <f>2972.96851</f>
        <v>2972.9685100000002</v>
      </c>
      <c r="H33" s="132">
        <f t="shared" si="3"/>
        <v>13812.031489999999</v>
      </c>
      <c r="I33" s="132">
        <f>5640.83334</f>
        <v>5640.8333400000001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13982</v>
      </c>
      <c r="E34" s="58">
        <v>14985</v>
      </c>
      <c r="F34" s="132">
        <f>F35+F36</f>
        <v>364.61624999999998</v>
      </c>
      <c r="G34" s="132">
        <f>G35+G36</f>
        <v>1372.45856</v>
      </c>
      <c r="H34" s="132">
        <f t="shared" si="3"/>
        <v>13612.541440000001</v>
      </c>
      <c r="I34" s="132">
        <f>I35+I36</f>
        <v>1786.84448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13022</v>
      </c>
      <c r="E35" s="63">
        <f>E34-E36</f>
        <v>14025</v>
      </c>
      <c r="F35" s="127">
        <f>364.61625</f>
        <v>364.61624999999998</v>
      </c>
      <c r="G35" s="132">
        <f>1386.45856 - F60 - F61</f>
        <v>1372.45856</v>
      </c>
      <c r="H35" s="127">
        <f t="shared" si="3"/>
        <v>12652.541440000001</v>
      </c>
      <c r="I35" s="127">
        <f>1786.84448 - H60 - H61</f>
        <v>1786.84448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2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0</f>
        <v>0</v>
      </c>
      <c r="H37" s="139">
        <f t="shared" si="3"/>
        <v>2000</v>
      </c>
      <c r="I37" s="139">
        <f>0</f>
        <v>0</v>
      </c>
      <c r="J37" s="242"/>
    </row>
    <row r="38" spans="1:13" ht="14.1" customHeight="1" x14ac:dyDescent="0.25">
      <c r="A38" s="1"/>
      <c r="B38" s="252"/>
      <c r="C38" s="73" t="s">
        <v>34</v>
      </c>
      <c r="D38" s="143">
        <v>855</v>
      </c>
      <c r="E38" s="143">
        <v>855</v>
      </c>
      <c r="F38" s="98">
        <f>7.2</f>
        <v>7.2</v>
      </c>
      <c r="G38" s="98">
        <f>36.28705</f>
        <v>36.287050000000001</v>
      </c>
      <c r="H38" s="98">
        <f t="shared" si="3"/>
        <v>818.71294999999998</v>
      </c>
      <c r="I38" s="98">
        <f>49.71163</f>
        <v>49.71163</v>
      </c>
      <c r="J38" s="242"/>
    </row>
    <row r="39" spans="1:13" ht="17.25" customHeight="1" x14ac:dyDescent="0.25">
      <c r="A39" s="1"/>
      <c r="B39" s="252"/>
      <c r="C39" s="73" t="s">
        <v>35</v>
      </c>
      <c r="D39" s="143">
        <v>3000</v>
      </c>
      <c r="E39" s="143">
        <v>3000</v>
      </c>
      <c r="F39" s="98">
        <f>E61</f>
        <v>0</v>
      </c>
      <c r="G39" s="98">
        <f>F61</f>
        <v>14</v>
      </c>
      <c r="H39" s="98">
        <f t="shared" si="3"/>
        <v>2986</v>
      </c>
      <c r="I39" s="98">
        <f>H61</f>
        <v>0</v>
      </c>
      <c r="J39" s="242"/>
    </row>
    <row r="40" spans="1:13" ht="17.25" customHeight="1" x14ac:dyDescent="0.25">
      <c r="A40" s="1"/>
      <c r="B40" s="252"/>
      <c r="C40" s="73" t="s">
        <v>36</v>
      </c>
      <c r="D40" s="143">
        <v>7000</v>
      </c>
      <c r="E40" s="143">
        <v>7000</v>
      </c>
      <c r="F40" s="98">
        <f>15.26412</f>
        <v>15.26412</v>
      </c>
      <c r="G40" s="98">
        <v>7000</v>
      </c>
      <c r="H40" s="98">
        <f t="shared" si="3"/>
        <v>0</v>
      </c>
      <c r="I40" s="98">
        <v>7000</v>
      </c>
      <c r="J40" s="242"/>
    </row>
    <row r="41" spans="1:13" ht="17.25" customHeight="1" x14ac:dyDescent="0.25">
      <c r="A41" s="1"/>
      <c r="B41" s="252"/>
      <c r="C41" s="73" t="s">
        <v>38</v>
      </c>
      <c r="D41" s="143">
        <v>400</v>
      </c>
      <c r="E41" s="143">
        <v>400</v>
      </c>
      <c r="F41" s="98">
        <f>1.197</f>
        <v>1.1970000000000001</v>
      </c>
      <c r="G41" s="98">
        <f>1.8135</f>
        <v>1.8134999999999999</v>
      </c>
      <c r="H41" s="98">
        <f>E41-G41</f>
        <v>398.18650000000002</v>
      </c>
      <c r="I41" s="98">
        <f>0.7329</f>
        <v>0.7329</v>
      </c>
      <c r="J41" s="242"/>
    </row>
    <row r="42" spans="1:13" ht="17.25" customHeight="1" x14ac:dyDescent="0.25">
      <c r="A42" s="1"/>
      <c r="B42" s="252"/>
      <c r="C42" s="73" t="s">
        <v>132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2"/>
      <c r="M42" s="223"/>
    </row>
    <row r="43" spans="1:13" ht="14.1" customHeight="1" x14ac:dyDescent="0.25">
      <c r="A43" s="1"/>
      <c r="B43" s="252"/>
      <c r="C43" s="73" t="s">
        <v>39</v>
      </c>
      <c r="D43" s="143"/>
      <c r="E43" s="139"/>
      <c r="F43" s="139">
        <f>0</f>
        <v>0</v>
      </c>
      <c r="G43" s="139">
        <f>18.458</f>
        <v>18.457999999999998</v>
      </c>
      <c r="H43" s="139">
        <f t="shared" ref="H43" si="4">E43-G43</f>
        <v>-18.457999999999998</v>
      </c>
      <c r="I43" s="139">
        <f>8.2935</f>
        <v>8.2934999999999999</v>
      </c>
      <c r="J43" s="242"/>
    </row>
    <row r="44" spans="1:13" ht="16.5" customHeight="1" x14ac:dyDescent="0.25">
      <c r="A44" s="1"/>
      <c r="B44" s="252"/>
      <c r="C44" s="74" t="s">
        <v>40</v>
      </c>
      <c r="D44" s="76">
        <f t="shared" ref="D44:I44" si="5">D23+D26+D37+D38+D39+D40+D41+D42+D43</f>
        <v>214124</v>
      </c>
      <c r="E44" s="76">
        <f t="shared" si="5"/>
        <v>218198</v>
      </c>
      <c r="F44" s="76">
        <f t="shared" si="5"/>
        <v>11695.764620000002</v>
      </c>
      <c r="G44" s="76">
        <f t="shared" si="5"/>
        <v>49050.570709999993</v>
      </c>
      <c r="H44" s="76">
        <f t="shared" si="5"/>
        <v>169147.42929000003</v>
      </c>
      <c r="I44" s="76">
        <f t="shared" si="5"/>
        <v>47712.823850000001</v>
      </c>
      <c r="J44" s="242"/>
    </row>
    <row r="45" spans="1:13" ht="14.1" customHeight="1" x14ac:dyDescent="0.25">
      <c r="A45" s="101"/>
      <c r="B45" s="24"/>
      <c r="C45" s="77" t="s">
        <v>133</v>
      </c>
      <c r="D45" s="256"/>
      <c r="E45" s="256"/>
      <c r="F45" s="80"/>
      <c r="G45" s="80"/>
      <c r="H45" s="226"/>
      <c r="I45" s="226"/>
      <c r="J45" s="81"/>
    </row>
    <row r="46" spans="1:13" ht="14.1" customHeight="1" x14ac:dyDescent="0.25">
      <c r="A46" s="101"/>
      <c r="B46" s="24"/>
      <c r="C46" s="82" t="s">
        <v>41</v>
      </c>
      <c r="D46" s="256"/>
      <c r="E46" s="256"/>
      <c r="F46" s="256"/>
      <c r="G46" s="80"/>
      <c r="H46" s="178"/>
      <c r="I46" s="178"/>
      <c r="J46" s="242"/>
    </row>
    <row r="47" spans="1:13" ht="14.1" customHeight="1" x14ac:dyDescent="0.25">
      <c r="A47" s="101"/>
      <c r="B47" s="24"/>
      <c r="C47" s="161" t="s">
        <v>148</v>
      </c>
      <c r="D47" s="256"/>
      <c r="E47" s="256"/>
      <c r="F47" s="256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134</v>
      </c>
      <c r="D48" s="256"/>
      <c r="E48" s="256"/>
      <c r="F48" s="256"/>
      <c r="G48" s="256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6"/>
      <c r="E49" s="256"/>
      <c r="F49" s="256"/>
      <c r="G49" s="256"/>
      <c r="H49" s="178"/>
      <c r="I49" s="178"/>
      <c r="J49" s="120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78"/>
      <c r="I50" s="178"/>
      <c r="J50" s="120"/>
    </row>
    <row r="51" spans="1:10" ht="20.25" customHeight="1" x14ac:dyDescent="0.25">
      <c r="A51" s="101"/>
      <c r="B51" s="239"/>
      <c r="C51" s="270"/>
      <c r="D51" s="270"/>
      <c r="E51" s="109"/>
      <c r="F51" s="270"/>
      <c r="G51" s="270"/>
      <c r="H51" s="270"/>
      <c r="I51" s="270"/>
      <c r="J51" s="184"/>
    </row>
    <row r="52" spans="1:10" ht="33" customHeight="1" x14ac:dyDescent="0.25">
      <c r="A52" s="101"/>
      <c r="B52" s="24"/>
      <c r="C52" s="293" t="s">
        <v>43</v>
      </c>
      <c r="D52" s="293"/>
      <c r="E52" s="293"/>
      <c r="F52" s="293"/>
      <c r="G52" s="293"/>
      <c r="H52" s="293"/>
      <c r="I52" s="83"/>
      <c r="J52" s="84"/>
    </row>
    <row r="53" spans="1:10" ht="7.5" customHeight="1" x14ac:dyDescent="0.25">
      <c r="A53" s="101"/>
      <c r="B53" s="24"/>
      <c r="C53" s="161"/>
      <c r="D53" s="256"/>
      <c r="E53" s="256"/>
      <c r="F53" s="256"/>
      <c r="G53" s="256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144</v>
      </c>
      <c r="F54" s="68" t="s">
        <v>145</v>
      </c>
      <c r="G54" s="68" t="s">
        <v>146</v>
      </c>
      <c r="H54" s="68" t="s">
        <v>147</v>
      </c>
      <c r="I54" s="256"/>
      <c r="J54" s="242"/>
    </row>
    <row r="55" spans="1:10" ht="14.1" customHeight="1" x14ac:dyDescent="0.25">
      <c r="A55" s="101"/>
      <c r="B55" s="24"/>
      <c r="C55" s="16" t="s">
        <v>45</v>
      </c>
      <c r="D55" s="294">
        <v>7872</v>
      </c>
      <c r="E55" s="11">
        <f>E59+E58+E57+E56</f>
        <v>0</v>
      </c>
      <c r="F55" s="11">
        <f>F59+F58+F57+F56</f>
        <v>0</v>
      </c>
      <c r="G55" s="294">
        <f>D55-F55</f>
        <v>7872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2" t="s">
        <v>24</v>
      </c>
      <c r="D56" s="295"/>
      <c r="E56" s="127"/>
      <c r="F56" s="127"/>
      <c r="G56" s="295"/>
      <c r="H56" s="127"/>
      <c r="I56" s="256"/>
      <c r="J56" s="242"/>
    </row>
    <row r="57" spans="1:10" ht="14.1" customHeight="1" x14ac:dyDescent="0.25">
      <c r="A57" s="101"/>
      <c r="B57" s="24"/>
      <c r="C57" s="62" t="s">
        <v>25</v>
      </c>
      <c r="D57" s="295"/>
      <c r="E57" s="127"/>
      <c r="F57" s="127"/>
      <c r="G57" s="295"/>
      <c r="H57" s="127"/>
      <c r="I57" s="256"/>
      <c r="J57" s="242"/>
    </row>
    <row r="58" spans="1:10" ht="14.1" customHeight="1" x14ac:dyDescent="0.25">
      <c r="A58" s="101"/>
      <c r="B58" s="24"/>
      <c r="C58" s="62" t="s">
        <v>26</v>
      </c>
      <c r="D58" s="295"/>
      <c r="E58" s="127"/>
      <c r="F58" s="127"/>
      <c r="G58" s="295"/>
      <c r="H58" s="127"/>
      <c r="I58" s="256"/>
      <c r="J58" s="242"/>
    </row>
    <row r="59" spans="1:10" ht="14.1" customHeight="1" x14ac:dyDescent="0.25">
      <c r="A59" s="101"/>
      <c r="B59" s="24"/>
      <c r="C59" s="87" t="s">
        <v>27</v>
      </c>
      <c r="D59" s="296"/>
      <c r="E59" s="192"/>
      <c r="F59" s="192"/>
      <c r="G59" s="296"/>
      <c r="H59" s="192"/>
      <c r="I59" s="256"/>
      <c r="J59" s="242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/>
      <c r="F60" s="95">
        <v>0</v>
      </c>
      <c r="G60" s="95">
        <f>D60-F60</f>
        <v>960</v>
      </c>
      <c r="H60" s="95">
        <v>0</v>
      </c>
      <c r="I60" s="256"/>
      <c r="J60" s="242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0</v>
      </c>
      <c r="F61" s="139">
        <v>14</v>
      </c>
      <c r="G61" s="139">
        <f>D61-F61</f>
        <v>2986</v>
      </c>
      <c r="H61" s="139"/>
      <c r="I61" s="256"/>
      <c r="J61" s="242"/>
    </row>
    <row r="62" spans="1:10" ht="14.1" customHeight="1" x14ac:dyDescent="0.25">
      <c r="A62" s="101"/>
      <c r="B62" s="24"/>
      <c r="C62" s="77" t="s">
        <v>135</v>
      </c>
      <c r="D62" s="256"/>
      <c r="E62" s="256"/>
      <c r="F62" s="256"/>
      <c r="G62" s="256"/>
      <c r="H62" s="178"/>
      <c r="I62" s="178"/>
      <c r="J62" s="120"/>
    </row>
    <row r="63" spans="1:10" ht="14.1" customHeight="1" x14ac:dyDescent="0.25">
      <c r="A63" s="101"/>
      <c r="B63" s="24"/>
      <c r="C63" s="161"/>
      <c r="D63" s="256"/>
      <c r="E63" s="256"/>
      <c r="F63" s="256"/>
      <c r="G63" s="256"/>
      <c r="H63" s="178"/>
      <c r="I63" s="178"/>
      <c r="J63" s="120"/>
    </row>
    <row r="64" spans="1:10" ht="15" customHeight="1" x14ac:dyDescent="0.25">
      <c r="A64" s="101"/>
      <c r="B64" s="24"/>
      <c r="C64" s="161"/>
      <c r="D64" s="256"/>
      <c r="E64" s="256"/>
      <c r="F64" s="256"/>
      <c r="G64" s="256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6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18.5" customHeight="1" x14ac:dyDescent="0.25"/>
    <row r="78" spans="1:10" ht="17.100000000000001" customHeight="1" x14ac:dyDescent="0.25">
      <c r="B78" s="2"/>
      <c r="C78" s="217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7" t="s">
        <v>1</v>
      </c>
      <c r="D81" s="298"/>
      <c r="E81" s="297" t="s">
        <v>2</v>
      </c>
      <c r="F81" s="299"/>
      <c r="G81" s="297" t="s">
        <v>3</v>
      </c>
      <c r="H81" s="298"/>
      <c r="I81" s="178"/>
      <c r="J81" s="242"/>
    </row>
    <row r="82" spans="1:10" ht="15" customHeight="1" x14ac:dyDescent="0.25">
      <c r="B82" s="252"/>
      <c r="C82" s="115" t="s">
        <v>6</v>
      </c>
      <c r="D82" s="117">
        <v>70605</v>
      </c>
      <c r="E82" s="257" t="s">
        <v>4</v>
      </c>
      <c r="F82" s="114">
        <v>26111</v>
      </c>
      <c r="G82" s="191" t="s">
        <v>5</v>
      </c>
      <c r="H82" s="114">
        <v>7669</v>
      </c>
      <c r="I82" s="178"/>
      <c r="J82" s="242"/>
    </row>
    <row r="83" spans="1:10" ht="15" customHeight="1" x14ac:dyDescent="0.25">
      <c r="B83" s="252"/>
      <c r="C83" s="115" t="s">
        <v>9</v>
      </c>
      <c r="D83" s="117">
        <v>61605</v>
      </c>
      <c r="E83" s="246" t="s">
        <v>7</v>
      </c>
      <c r="F83" s="117">
        <v>42603</v>
      </c>
      <c r="G83" s="191" t="s">
        <v>8</v>
      </c>
      <c r="H83" s="117">
        <v>31526</v>
      </c>
      <c r="I83" s="178"/>
      <c r="J83" s="242"/>
    </row>
    <row r="84" spans="1:10" ht="14.1" customHeight="1" x14ac:dyDescent="0.25">
      <c r="B84" s="252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3408</v>
      </c>
      <c r="I84" s="178"/>
      <c r="J84" s="242"/>
    </row>
    <row r="85" spans="1:10" ht="12" customHeight="1" x14ac:dyDescent="0.25">
      <c r="B85" s="252"/>
      <c r="C85" s="177" t="s">
        <v>49</v>
      </c>
      <c r="D85" s="189">
        <f>SUM(D82:D84)</f>
        <v>141000</v>
      </c>
      <c r="E85" s="177" t="s">
        <v>14</v>
      </c>
      <c r="F85" s="189">
        <f>SUM(F82:F84)</f>
        <v>70605</v>
      </c>
      <c r="G85" s="177" t="s">
        <v>7</v>
      </c>
      <c r="H85" s="189">
        <f>SUM(H82:H84)</f>
        <v>42603</v>
      </c>
      <c r="I85" s="178"/>
      <c r="J85" s="242"/>
    </row>
    <row r="86" spans="1:10" ht="14.25" customHeight="1" x14ac:dyDescent="0.25">
      <c r="A86" s="1"/>
      <c r="B86" s="252"/>
      <c r="C86" s="101" t="s">
        <v>119</v>
      </c>
      <c r="D86" s="218"/>
      <c r="E86" s="218"/>
      <c r="F86" s="218"/>
      <c r="G86" s="218"/>
      <c r="H86" s="218"/>
      <c r="I86" s="234"/>
      <c r="J86" s="120"/>
    </row>
    <row r="87" spans="1:10" ht="6" customHeight="1" x14ac:dyDescent="0.25">
      <c r="A87" s="1"/>
      <c r="B87" s="252"/>
      <c r="C87" s="96"/>
      <c r="D87" s="96"/>
      <c r="E87" s="96"/>
      <c r="F87" s="96"/>
      <c r="G87" s="96"/>
      <c r="H87" s="96"/>
      <c r="I87" s="234"/>
      <c r="J87" s="120"/>
    </row>
    <row r="88" spans="1:10" ht="14.1" customHeight="1" x14ac:dyDescent="0.25">
      <c r="A88" s="1"/>
      <c r="B88" s="135"/>
      <c r="C88" s="270"/>
      <c r="D88" s="109"/>
      <c r="E88" s="270"/>
      <c r="F88" s="270"/>
      <c r="G88" s="270"/>
      <c r="H88" s="270"/>
      <c r="I88" s="259"/>
      <c r="J88" s="184"/>
    </row>
    <row r="89" spans="1:10" ht="20.25" customHeight="1" x14ac:dyDescent="0.25">
      <c r="A89" s="1"/>
      <c r="B89" s="252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50</v>
      </c>
      <c r="F91" s="15" t="s">
        <v>144</v>
      </c>
      <c r="G91" s="15" t="s">
        <v>145</v>
      </c>
      <c r="H91" s="15" t="s">
        <v>146</v>
      </c>
      <c r="I91" s="15" t="s">
        <v>147</v>
      </c>
      <c r="J91" s="120"/>
    </row>
    <row r="92" spans="1:10" ht="14.1" customHeight="1" x14ac:dyDescent="0.25">
      <c r="A92" s="1"/>
      <c r="B92" s="252"/>
      <c r="C92" s="32" t="s">
        <v>19</v>
      </c>
      <c r="D92" s="28">
        <f>D93+D94</f>
        <v>26111</v>
      </c>
      <c r="E92" s="28">
        <f>E94+E93</f>
        <v>25365</v>
      </c>
      <c r="F92" s="11">
        <f t="shared" ref="F92:I92" si="6">F94+F93</f>
        <v>619.92632000000003</v>
      </c>
      <c r="G92" s="11">
        <f t="shared" si="6"/>
        <v>2553.8797000000004</v>
      </c>
      <c r="H92" s="11">
        <f t="shared" si="6"/>
        <v>22811.120299999999</v>
      </c>
      <c r="I92" s="11">
        <f t="shared" si="6"/>
        <v>1791.0445299999999</v>
      </c>
      <c r="J92" s="242"/>
    </row>
    <row r="93" spans="1:10" ht="15" customHeight="1" x14ac:dyDescent="0.25">
      <c r="A93" s="1"/>
      <c r="B93" s="252"/>
      <c r="C93" s="44" t="s">
        <v>20</v>
      </c>
      <c r="D93" s="45">
        <v>25361</v>
      </c>
      <c r="E93" s="45">
        <v>24540</v>
      </c>
      <c r="F93" s="23">
        <f>617.61352</f>
        <v>617.61351999999999</v>
      </c>
      <c r="G93" s="23">
        <f>2524.9585</f>
        <v>2524.9585000000002</v>
      </c>
      <c r="H93" s="23">
        <f>E93-G93</f>
        <v>22015.041499999999</v>
      </c>
      <c r="I93" s="23">
        <f>1767.54693</f>
        <v>1767.54693</v>
      </c>
      <c r="J93" s="242"/>
    </row>
    <row r="94" spans="1:10" ht="14.1" customHeight="1" x14ac:dyDescent="0.25">
      <c r="A94" s="1"/>
      <c r="B94" s="252"/>
      <c r="C94" s="64" t="s">
        <v>21</v>
      </c>
      <c r="D94" s="49">
        <v>750</v>
      </c>
      <c r="E94" s="49">
        <v>825</v>
      </c>
      <c r="F94" s="50">
        <f>2.3128</f>
        <v>2.3128000000000002</v>
      </c>
      <c r="G94" s="50">
        <f>28.9212</f>
        <v>28.921199999999999</v>
      </c>
      <c r="H94" s="50">
        <f>E94-G94</f>
        <v>796.0788</v>
      </c>
      <c r="I94" s="50">
        <f>23.4976</f>
        <v>23.497599999999998</v>
      </c>
      <c r="J94" s="242"/>
    </row>
    <row r="95" spans="1:10" ht="15.75" customHeight="1" x14ac:dyDescent="0.25">
      <c r="A95" s="1"/>
      <c r="B95" s="52"/>
      <c r="C95" s="16" t="s">
        <v>22</v>
      </c>
      <c r="D95" s="28">
        <f>D96+D101+D102</f>
        <v>43825</v>
      </c>
      <c r="E95" s="28">
        <f>E96+E101+E102</f>
        <v>48022</v>
      </c>
      <c r="F95" s="11">
        <f t="shared" ref="F95:I95" si="7">F96+F101+F102</f>
        <v>924.40252999999996</v>
      </c>
      <c r="G95" s="11">
        <f t="shared" si="7"/>
        <v>7769.9142400000001</v>
      </c>
      <c r="H95" s="11">
        <f t="shared" si="7"/>
        <v>40252.085760000002</v>
      </c>
      <c r="I95" s="11">
        <f t="shared" si="7"/>
        <v>4862.2013200000001</v>
      </c>
      <c r="J95" s="242"/>
    </row>
    <row r="96" spans="1:10" ht="14.1" customHeight="1" x14ac:dyDescent="0.25">
      <c r="A96" s="1"/>
      <c r="B96" s="53"/>
      <c r="C96" s="56" t="s">
        <v>23</v>
      </c>
      <c r="D96" s="58">
        <f>D97+D98+D99+D100</f>
        <v>32748</v>
      </c>
      <c r="E96" s="58">
        <f>E100+E99+E98+E97</f>
        <v>36774</v>
      </c>
      <c r="F96" s="132">
        <f t="shared" ref="F96:I96" si="8">F97+F98+F99+F100</f>
        <v>794.14887999999996</v>
      </c>
      <c r="G96" s="132">
        <f t="shared" si="8"/>
        <v>4530.7904399999998</v>
      </c>
      <c r="H96" s="132">
        <f t="shared" si="8"/>
        <v>32243.209560000003</v>
      </c>
      <c r="I96" s="132">
        <f t="shared" si="8"/>
        <v>2672.0282799999995</v>
      </c>
      <c r="J96" s="242"/>
    </row>
    <row r="97" spans="1:10" ht="14.1" customHeight="1" x14ac:dyDescent="0.25">
      <c r="A97" s="197"/>
      <c r="B97" s="182"/>
      <c r="C97" s="62" t="s">
        <v>24</v>
      </c>
      <c r="D97" s="63">
        <v>8749</v>
      </c>
      <c r="E97" s="63">
        <v>9824</v>
      </c>
      <c r="F97" s="127">
        <f>231.48403</f>
        <v>231.48402999999999</v>
      </c>
      <c r="G97" s="127">
        <f>1704.03744</f>
        <v>1704.0374400000001</v>
      </c>
      <c r="H97" s="127">
        <f t="shared" ref="H97:H104" si="9">E97-G97</f>
        <v>8119.9625599999999</v>
      </c>
      <c r="I97" s="127">
        <f>802.07666</f>
        <v>802.07665999999995</v>
      </c>
      <c r="J97" s="242"/>
    </row>
    <row r="98" spans="1:10" ht="14.1" customHeight="1" x14ac:dyDescent="0.25">
      <c r="A98" s="197"/>
      <c r="B98" s="182"/>
      <c r="C98" s="62" t="s">
        <v>51</v>
      </c>
      <c r="D98" s="63">
        <v>9277</v>
      </c>
      <c r="E98" s="63">
        <v>10422</v>
      </c>
      <c r="F98" s="127">
        <f>280.58942</f>
        <v>280.58942000000002</v>
      </c>
      <c r="G98" s="127">
        <f>1832.70871</f>
        <v>1832.7087100000001</v>
      </c>
      <c r="H98" s="127">
        <f t="shared" si="9"/>
        <v>8589.2912899999992</v>
      </c>
      <c r="I98" s="127">
        <f>1049.94861</f>
        <v>1049.9486099999999</v>
      </c>
      <c r="J98" s="242"/>
    </row>
    <row r="99" spans="1:10" ht="14.1" customHeight="1" x14ac:dyDescent="0.25">
      <c r="A99" s="197"/>
      <c r="B99" s="182"/>
      <c r="C99" s="62" t="s">
        <v>52</v>
      </c>
      <c r="D99" s="63">
        <v>8827</v>
      </c>
      <c r="E99" s="63">
        <v>9910</v>
      </c>
      <c r="F99" s="127">
        <f>212.57663</f>
        <v>212.57662999999999</v>
      </c>
      <c r="G99" s="127">
        <f>770.26609</f>
        <v>770.26608999999996</v>
      </c>
      <c r="H99" s="127">
        <f t="shared" si="9"/>
        <v>9139.7339100000008</v>
      </c>
      <c r="I99" s="127">
        <f>534.84234</f>
        <v>534.84234000000004</v>
      </c>
      <c r="J99" s="242"/>
    </row>
    <row r="100" spans="1:10" ht="14.1" customHeight="1" x14ac:dyDescent="0.25">
      <c r="A100" s="197"/>
      <c r="B100" s="182"/>
      <c r="C100" s="62" t="s">
        <v>27</v>
      </c>
      <c r="D100" s="63">
        <v>5895</v>
      </c>
      <c r="E100" s="63">
        <v>6618</v>
      </c>
      <c r="F100" s="127">
        <f>69.4988</f>
        <v>69.498800000000003</v>
      </c>
      <c r="G100" s="127">
        <f>223.7782</f>
        <v>223.7782</v>
      </c>
      <c r="H100" s="127">
        <f t="shared" si="9"/>
        <v>6394.2218000000003</v>
      </c>
      <c r="I100" s="127">
        <f>285.16067</f>
        <v>285.16066999999998</v>
      </c>
      <c r="J100" s="242"/>
    </row>
    <row r="101" spans="1:10" ht="14.1" customHeight="1" x14ac:dyDescent="0.25">
      <c r="A101" s="197"/>
      <c r="B101" s="182"/>
      <c r="C101" s="56" t="s">
        <v>53</v>
      </c>
      <c r="D101" s="58">
        <v>7669</v>
      </c>
      <c r="E101" s="58">
        <v>7422</v>
      </c>
      <c r="F101" s="132">
        <f>4.51958</f>
        <v>4.5195800000000004</v>
      </c>
      <c r="G101" s="132">
        <f>2461.05582</f>
        <v>2461.05582</v>
      </c>
      <c r="H101" s="132">
        <f t="shared" si="9"/>
        <v>4960.9441800000004</v>
      </c>
      <c r="I101" s="132">
        <f>1770.67496</f>
        <v>1770.6749600000001</v>
      </c>
      <c r="J101" s="242"/>
    </row>
    <row r="102" spans="1:10" ht="15.75" customHeight="1" x14ac:dyDescent="0.25">
      <c r="A102" s="1"/>
      <c r="B102" s="53"/>
      <c r="C102" s="38" t="s">
        <v>11</v>
      </c>
      <c r="D102" s="61">
        <v>3408</v>
      </c>
      <c r="E102" s="61">
        <v>3826</v>
      </c>
      <c r="F102" s="75">
        <f>125.73407</f>
        <v>125.73407</v>
      </c>
      <c r="G102" s="75">
        <f>778.06798</f>
        <v>778.06798000000003</v>
      </c>
      <c r="H102" s="75">
        <f t="shared" si="9"/>
        <v>3047.9320200000002</v>
      </c>
      <c r="I102" s="75">
        <f>419.49808</f>
        <v>419.49808000000002</v>
      </c>
      <c r="J102" s="242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0.02656</f>
        <v>2.656E-2</v>
      </c>
      <c r="G103" s="98">
        <f>1.28222</f>
        <v>1.2822199999999999</v>
      </c>
      <c r="H103" s="98">
        <f t="shared" si="9"/>
        <v>317.71778</v>
      </c>
      <c r="I103" s="98">
        <f>0.29647</f>
        <v>0.29647000000000001</v>
      </c>
      <c r="J103" s="242"/>
    </row>
    <row r="104" spans="1:10" ht="18" customHeight="1" x14ac:dyDescent="0.25">
      <c r="A104" s="1"/>
      <c r="B104" s="252"/>
      <c r="C104" s="73" t="s">
        <v>54</v>
      </c>
      <c r="D104" s="143">
        <v>300</v>
      </c>
      <c r="E104" s="143">
        <v>300</v>
      </c>
      <c r="F104" s="139">
        <f>2.27104</f>
        <v>2.2710400000000002</v>
      </c>
      <c r="G104" s="139">
        <v>300</v>
      </c>
      <c r="H104" s="139">
        <f t="shared" si="9"/>
        <v>0</v>
      </c>
      <c r="I104" s="139">
        <v>300</v>
      </c>
      <c r="J104" s="242"/>
    </row>
    <row r="105" spans="1:10" ht="16.5" customHeight="1" x14ac:dyDescent="0.25">
      <c r="A105" s="1"/>
      <c r="B105" s="252"/>
      <c r="C105" s="93" t="s">
        <v>38</v>
      </c>
      <c r="D105" s="143">
        <v>50</v>
      </c>
      <c r="E105" s="143">
        <v>50</v>
      </c>
      <c r="F105" s="98">
        <f>1.59878</f>
        <v>1.5987800000000001</v>
      </c>
      <c r="G105" s="98">
        <f>4.09444</f>
        <v>4.0944399999999996</v>
      </c>
      <c r="H105" s="139">
        <f>E105-G105</f>
        <v>45.905560000000001</v>
      </c>
      <c r="I105" s="98">
        <f>2.94462</f>
        <v>2.94462</v>
      </c>
      <c r="J105" s="242"/>
    </row>
    <row r="106" spans="1:10" ht="18" customHeight="1" x14ac:dyDescent="0.25">
      <c r="A106" s="1"/>
      <c r="B106" s="252"/>
      <c r="C106" s="93" t="s">
        <v>55</v>
      </c>
      <c r="D106" s="143"/>
      <c r="E106" s="139"/>
      <c r="F106" s="139">
        <f>0.744</f>
        <v>0.74399999999999999</v>
      </c>
      <c r="G106" s="139">
        <f>2.8338</f>
        <v>2.8338000000000001</v>
      </c>
      <c r="H106" s="139">
        <f t="shared" ref="H106" si="10">E106-G106</f>
        <v>-2.8338000000000001</v>
      </c>
      <c r="I106" s="139">
        <f>0.2</f>
        <v>0.2</v>
      </c>
      <c r="J106" s="242"/>
    </row>
    <row r="107" spans="1:10" ht="16.5" customHeight="1" x14ac:dyDescent="0.25">
      <c r="A107" s="1"/>
      <c r="B107" s="252"/>
      <c r="C107" s="74" t="s">
        <v>40</v>
      </c>
      <c r="D107" s="76">
        <f>D92+D95+D103+D104+D105+D106</f>
        <v>70605</v>
      </c>
      <c r="E107" s="76">
        <f t="shared" ref="E107" si="11">E92+E95+E103+E104+E105+E106</f>
        <v>74056</v>
      </c>
      <c r="F107" s="76">
        <f t="shared" ref="F107:I107" si="12">F92+F95+F103+F104+F105+F106</f>
        <v>1548.9692299999999</v>
      </c>
      <c r="G107" s="76">
        <f t="shared" si="12"/>
        <v>10632.0044</v>
      </c>
      <c r="H107" s="76">
        <f t="shared" si="12"/>
        <v>63423.995599999995</v>
      </c>
      <c r="I107" s="76">
        <f t="shared" si="12"/>
        <v>6956.6869400000005</v>
      </c>
      <c r="J107" s="242"/>
    </row>
    <row r="108" spans="1:10" ht="13.5" customHeight="1" x14ac:dyDescent="0.25">
      <c r="A108" s="1"/>
      <c r="B108" s="252"/>
      <c r="C108" s="77" t="s">
        <v>136</v>
      </c>
      <c r="D108" s="100"/>
      <c r="E108" s="100"/>
      <c r="F108" s="102"/>
      <c r="G108" s="102"/>
      <c r="H108" s="104"/>
      <c r="I108" s="226"/>
      <c r="J108" s="242"/>
    </row>
    <row r="109" spans="1:10" ht="13.5" customHeight="1" x14ac:dyDescent="0.25">
      <c r="A109" s="1"/>
      <c r="B109" s="24"/>
      <c r="C109" s="161" t="s">
        <v>149</v>
      </c>
      <c r="D109" s="256"/>
      <c r="E109" s="256"/>
      <c r="F109" s="80"/>
      <c r="G109" s="80"/>
      <c r="H109" s="226"/>
      <c r="I109" s="226"/>
      <c r="J109" s="105"/>
    </row>
    <row r="110" spans="1:10" ht="15" customHeight="1" x14ac:dyDescent="0.25">
      <c r="A110" s="1"/>
      <c r="B110" s="24"/>
      <c r="C110" s="161" t="s">
        <v>137</v>
      </c>
      <c r="D110" s="256"/>
      <c r="E110" s="256"/>
      <c r="F110" s="80"/>
      <c r="G110" s="80"/>
      <c r="H110" s="226"/>
      <c r="I110" s="226"/>
      <c r="J110" s="105"/>
    </row>
    <row r="111" spans="1:10" ht="15" customHeight="1" x14ac:dyDescent="0.25">
      <c r="A111" s="1"/>
      <c r="B111" s="24"/>
      <c r="C111" s="226" t="s">
        <v>56</v>
      </c>
      <c r="D111" s="256"/>
      <c r="E111" s="256"/>
      <c r="F111" s="80"/>
      <c r="G111" s="80"/>
      <c r="H111" s="226"/>
      <c r="I111" s="226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6"/>
      <c r="E113" s="226"/>
      <c r="F113" s="226"/>
      <c r="G113" s="226"/>
      <c r="H113" s="226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6"/>
      <c r="B115" s="216"/>
      <c r="C115" s="217" t="s">
        <v>57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2"/>
    </row>
    <row r="119" spans="1:10" ht="14.1" customHeight="1" x14ac:dyDescent="0.25">
      <c r="A119" s="1"/>
      <c r="B119" s="252"/>
      <c r="C119" s="115" t="s">
        <v>6</v>
      </c>
      <c r="D119" s="117">
        <v>212994</v>
      </c>
      <c r="E119" s="99" t="s">
        <v>4</v>
      </c>
      <c r="F119" s="114">
        <v>77294</v>
      </c>
      <c r="G119" s="115" t="s">
        <v>5</v>
      </c>
      <c r="H119" s="114">
        <v>8732</v>
      </c>
      <c r="I119" s="178"/>
      <c r="J119" s="242"/>
    </row>
    <row r="120" spans="1:10" ht="14.1" customHeight="1" x14ac:dyDescent="0.25">
      <c r="A120" s="1"/>
      <c r="B120" s="252"/>
      <c r="C120" s="115" t="s">
        <v>9</v>
      </c>
      <c r="D120" s="117">
        <v>12100</v>
      </c>
      <c r="E120" s="115" t="s">
        <v>7</v>
      </c>
      <c r="F120" s="117">
        <v>79383</v>
      </c>
      <c r="G120" s="115" t="s">
        <v>8</v>
      </c>
      <c r="H120" s="117">
        <v>59537</v>
      </c>
      <c r="I120" s="178"/>
      <c r="J120" s="242"/>
    </row>
    <row r="121" spans="1:10" ht="14.1" customHeight="1" x14ac:dyDescent="0.25">
      <c r="A121" s="1"/>
      <c r="B121" s="252"/>
      <c r="C121" s="246" t="s">
        <v>58</v>
      </c>
      <c r="D121" s="117">
        <v>1700</v>
      </c>
      <c r="E121" s="115" t="s">
        <v>59</v>
      </c>
      <c r="F121" s="117">
        <v>52226</v>
      </c>
      <c r="G121" s="115" t="s">
        <v>11</v>
      </c>
      <c r="H121" s="117">
        <v>11114</v>
      </c>
      <c r="I121" s="178"/>
      <c r="J121" s="242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4091</v>
      </c>
      <c r="G122" s="115"/>
      <c r="H122" s="165"/>
      <c r="I122" s="178"/>
      <c r="J122" s="242"/>
    </row>
    <row r="123" spans="1:10" ht="12" customHeight="1" x14ac:dyDescent="0.25">
      <c r="A123" s="1"/>
      <c r="B123" s="252"/>
      <c r="C123" s="177" t="s">
        <v>49</v>
      </c>
      <c r="D123" s="189">
        <v>226794</v>
      </c>
      <c r="E123" s="112" t="s">
        <v>14</v>
      </c>
      <c r="F123" s="189">
        <v>212994</v>
      </c>
      <c r="G123" s="177" t="s">
        <v>7</v>
      </c>
      <c r="H123" s="35">
        <v>79383</v>
      </c>
      <c r="I123" s="178"/>
      <c r="J123" s="242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2" t="s">
        <v>16</v>
      </c>
      <c r="D127" s="15" t="s">
        <v>17</v>
      </c>
      <c r="E127" s="15" t="s">
        <v>61</v>
      </c>
      <c r="F127" s="15" t="s">
        <v>144</v>
      </c>
      <c r="G127" s="15" t="s">
        <v>145</v>
      </c>
      <c r="H127" s="15" t="s">
        <v>146</v>
      </c>
      <c r="I127" s="15" t="s">
        <v>147</v>
      </c>
      <c r="J127" s="278"/>
    </row>
    <row r="128" spans="1:10" ht="14.1" customHeight="1" x14ac:dyDescent="0.25">
      <c r="A128" s="1"/>
      <c r="B128" s="252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567.37589999999989</v>
      </c>
      <c r="G128" s="11">
        <f t="shared" si="13"/>
        <v>6755.84998</v>
      </c>
      <c r="H128" s="11">
        <f t="shared" si="13"/>
        <v>65551.150020000001</v>
      </c>
      <c r="I128" s="11">
        <f t="shared" si="13"/>
        <v>14340.19817</v>
      </c>
      <c r="J128" s="242"/>
    </row>
    <row r="129" spans="1:10" ht="14.1" customHeight="1" x14ac:dyDescent="0.25">
      <c r="A129" s="1"/>
      <c r="B129" s="252"/>
      <c r="C129" s="44" t="s">
        <v>20</v>
      </c>
      <c r="D129" s="45">
        <v>60688</v>
      </c>
      <c r="E129" s="45">
        <v>57562</v>
      </c>
      <c r="F129" s="23">
        <f>423.13455</f>
        <v>423.13454999999999</v>
      </c>
      <c r="G129" s="23">
        <f>5790.38248</f>
        <v>5790.3824800000002</v>
      </c>
      <c r="H129" s="23">
        <f>E129-G129</f>
        <v>51771.61752</v>
      </c>
      <c r="I129" s="23">
        <f>12825.29602</f>
        <v>12825.29602</v>
      </c>
      <c r="J129" s="242"/>
    </row>
    <row r="130" spans="1:10" ht="15" customHeight="1" x14ac:dyDescent="0.25">
      <c r="A130" s="1"/>
      <c r="B130" s="252"/>
      <c r="C130" s="44" t="s">
        <v>21</v>
      </c>
      <c r="D130" s="45">
        <v>14672</v>
      </c>
      <c r="E130" s="45">
        <v>14245</v>
      </c>
      <c r="F130" s="23">
        <f>141.42735</f>
        <v>141.42734999999999</v>
      </c>
      <c r="G130" s="23">
        <f>916.53525</f>
        <v>916.53525000000002</v>
      </c>
      <c r="H130" s="23">
        <f>E130-G130</f>
        <v>13328.464749999999</v>
      </c>
      <c r="I130" s="23">
        <f>1456.79715</f>
        <v>1456.7971500000001</v>
      </c>
      <c r="J130" s="242"/>
    </row>
    <row r="131" spans="1:10" ht="13.5" customHeight="1" x14ac:dyDescent="0.25">
      <c r="A131" s="1"/>
      <c r="B131" s="252"/>
      <c r="C131" s="48" t="s">
        <v>63</v>
      </c>
      <c r="D131" s="33">
        <v>500</v>
      </c>
      <c r="E131" s="33">
        <v>500</v>
      </c>
      <c r="F131" s="23">
        <f>2.814</f>
        <v>2.8140000000000001</v>
      </c>
      <c r="G131" s="23">
        <f>48.93225</f>
        <v>48.932250000000003</v>
      </c>
      <c r="H131" s="55">
        <f>E131-G131</f>
        <v>451.06774999999999</v>
      </c>
      <c r="I131" s="23">
        <f>58.105</f>
        <v>58.104999999999997</v>
      </c>
      <c r="J131" s="242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0.0054</f>
        <v>5.4000000000000003E-3</v>
      </c>
      <c r="G132" s="95">
        <f>18.1553+80.88905</f>
        <v>99.044349999999994</v>
      </c>
      <c r="H132" s="95">
        <f>E132-G132</f>
        <v>52396.955650000004</v>
      </c>
      <c r="I132" s="95">
        <f>10.13195</f>
        <v>10.13195</v>
      </c>
      <c r="J132" s="116"/>
    </row>
    <row r="133" spans="1:10" ht="15.75" customHeight="1" x14ac:dyDescent="0.25">
      <c r="A133" s="1"/>
      <c r="B133" s="252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3169.0667900000003</v>
      </c>
      <c r="G133" s="94">
        <f t="shared" ref="G133" si="14">G134+G139+G142</f>
        <v>18889.709539999996</v>
      </c>
      <c r="H133" s="94">
        <f>H134+H139+H142</f>
        <v>61275.290459999997</v>
      </c>
      <c r="I133" s="94">
        <f>I134+I139+I142</f>
        <v>18828.837449999999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2804.3156200000003</v>
      </c>
      <c r="G134" s="125">
        <f>G135+G136+G138+G137</f>
        <v>15580.761399999999</v>
      </c>
      <c r="H134" s="125">
        <f>H135+H136+H137+H138</f>
        <v>43498.238599999997</v>
      </c>
      <c r="I134" s="125">
        <f>I135+I136+I137+I138</f>
        <v>17478.67871</v>
      </c>
      <c r="J134" s="278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511.65272</f>
        <v>511.65271999999999</v>
      </c>
      <c r="G135" s="127">
        <v>3351.7901700000002</v>
      </c>
      <c r="H135" s="127">
        <f>E135-G135</f>
        <v>14422.20983</v>
      </c>
      <c r="I135" s="127">
        <f>3041.90583</f>
        <v>3041.9058300000002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1006.16821</f>
        <v>1006.16821</v>
      </c>
      <c r="G136" s="127">
        <v>5471.3800599999995</v>
      </c>
      <c r="H136" s="127">
        <f>E136-G136</f>
        <v>9467.6199400000005</v>
      </c>
      <c r="I136" s="127">
        <f>5249.4081</f>
        <v>5249.4080999999996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653.63499</f>
        <v>653.63499000000002</v>
      </c>
      <c r="G137" s="127">
        <v>3480.0593199999998</v>
      </c>
      <c r="H137" s="127">
        <f>E137-G137</f>
        <v>9570.9406799999997</v>
      </c>
      <c r="I137" s="127">
        <f>4055.387</f>
        <v>4055.3870000000002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632.8597</f>
        <v>632.85969999999998</v>
      </c>
      <c r="G138" s="127">
        <v>3277.5318499999998</v>
      </c>
      <c r="H138" s="127">
        <f>E138-G138</f>
        <v>10037.468150000001</v>
      </c>
      <c r="I138" s="127">
        <f>5131.97778</f>
        <v>5131.9777800000002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177.72389999999999</v>
      </c>
      <c r="G139" s="132">
        <f>SUM(G140:G141)</f>
        <v>2107.0752299999999</v>
      </c>
      <c r="H139" s="132">
        <f>H140+H141</f>
        <v>6822.9247699999996</v>
      </c>
      <c r="I139" s="132">
        <f>SUM(I140:I141)</f>
        <v>440.26560999999998</v>
      </c>
      <c r="J139" s="133"/>
    </row>
    <row r="140" spans="1:10" ht="14.1" customHeight="1" x14ac:dyDescent="0.25">
      <c r="A140" s="1"/>
      <c r="B140" s="252"/>
      <c r="C140" s="62" t="s">
        <v>66</v>
      </c>
      <c r="D140" s="63">
        <v>8070</v>
      </c>
      <c r="E140" s="63">
        <v>8430</v>
      </c>
      <c r="F140" s="127">
        <f>169.9739</f>
        <v>169.97389999999999</v>
      </c>
      <c r="G140" s="127">
        <f>2034.29856</f>
        <v>2034.29856</v>
      </c>
      <c r="H140" s="127">
        <f t="shared" ref="H140:H148" si="15">E140-G140</f>
        <v>6395.7014399999998</v>
      </c>
      <c r="I140" s="127">
        <f>419.46772</f>
        <v>419.46771999999999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7.75</f>
        <v>7.75</v>
      </c>
      <c r="G141" s="127">
        <f>72.77667</f>
        <v>72.776669999999996</v>
      </c>
      <c r="H141" s="127">
        <f t="shared" si="15"/>
        <v>427.22333000000003</v>
      </c>
      <c r="I141" s="127">
        <f>20.79789</f>
        <v>20.797889999999999</v>
      </c>
      <c r="J141" s="134"/>
    </row>
    <row r="142" spans="1:10" ht="15.75" customHeight="1" x14ac:dyDescent="0.25">
      <c r="A142" s="1"/>
      <c r="B142" s="252"/>
      <c r="C142" s="38" t="s">
        <v>11</v>
      </c>
      <c r="D142" s="61">
        <v>10907</v>
      </c>
      <c r="E142" s="61">
        <v>12156</v>
      </c>
      <c r="F142" s="75">
        <f>187.02727</f>
        <v>187.02726999999999</v>
      </c>
      <c r="G142" s="75">
        <f>1201.87291</f>
        <v>1201.87291</v>
      </c>
      <c r="H142" s="75">
        <f t="shared" si="15"/>
        <v>10954.12709</v>
      </c>
      <c r="I142" s="75">
        <f>909.89313</f>
        <v>909.89313000000004</v>
      </c>
      <c r="J142" s="120"/>
    </row>
    <row r="143" spans="1:10" ht="15.75" customHeight="1" x14ac:dyDescent="0.25">
      <c r="A143" s="1"/>
      <c r="B143" s="252"/>
      <c r="C143" s="142" t="s">
        <v>34</v>
      </c>
      <c r="D143" s="143">
        <v>146</v>
      </c>
      <c r="E143" s="143">
        <v>146</v>
      </c>
      <c r="F143" s="139">
        <f>0.68135</f>
        <v>0.68135000000000001</v>
      </c>
      <c r="G143" s="139">
        <f>1.71113</f>
        <v>1.71113</v>
      </c>
      <c r="H143" s="139">
        <f t="shared" si="15"/>
        <v>144.28887</v>
      </c>
      <c r="I143" s="139">
        <f>1.6354</f>
        <v>1.6354</v>
      </c>
      <c r="J143" s="120"/>
    </row>
    <row r="144" spans="1:10" ht="15.75" customHeight="1" x14ac:dyDescent="0.25">
      <c r="A144" s="1"/>
      <c r="B144" s="252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2"/>
      <c r="C145" s="140" t="s">
        <v>69</v>
      </c>
      <c r="D145" s="143">
        <v>2000</v>
      </c>
      <c r="E145" s="143">
        <v>2000</v>
      </c>
      <c r="F145" s="139">
        <f>6.9307</f>
        <v>6.9306999999999999</v>
      </c>
      <c r="G145" s="139">
        <v>2000</v>
      </c>
      <c r="H145" s="139">
        <f t="shared" si="15"/>
        <v>0</v>
      </c>
      <c r="I145" s="139">
        <v>2000</v>
      </c>
      <c r="J145" s="242"/>
    </row>
    <row r="146" spans="1:10" ht="15.75" customHeight="1" x14ac:dyDescent="0.25">
      <c r="A146" s="1"/>
      <c r="B146" s="252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2"/>
      <c r="C147" s="142" t="s">
        <v>70</v>
      </c>
      <c r="D147" s="143">
        <v>276</v>
      </c>
      <c r="E147" s="143">
        <v>276</v>
      </c>
      <c r="F147" s="98">
        <f>3.13545</f>
        <v>3.1354500000000001</v>
      </c>
      <c r="G147" s="98">
        <f>9.5801</f>
        <v>9.5800999999999998</v>
      </c>
      <c r="H147" s="139">
        <f t="shared" si="15"/>
        <v>266.41989999999998</v>
      </c>
      <c r="I147" s="98">
        <f>14.2776</f>
        <v>14.2776</v>
      </c>
      <c r="J147" s="120"/>
    </row>
    <row r="148" spans="1:10" ht="15" customHeight="1" x14ac:dyDescent="0.25">
      <c r="A148" s="1"/>
      <c r="B148" s="252"/>
      <c r="C148" s="142" t="s">
        <v>39</v>
      </c>
      <c r="D148" s="145"/>
      <c r="E148" s="143"/>
      <c r="F148" s="139">
        <f>0</f>
        <v>0</v>
      </c>
      <c r="G148" s="139">
        <f>47.3275</f>
        <v>47.327500000000001</v>
      </c>
      <c r="H148" s="139">
        <f t="shared" si="15"/>
        <v>-47.327500000000001</v>
      </c>
      <c r="I148" s="139">
        <f>41.027</f>
        <v>41.027000000000001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3747.1955900000003</v>
      </c>
      <c r="G150" s="76">
        <f>G128+G132+G133+G143+G144+G145+G146+G147+G148</f>
        <v>27803.222599999994</v>
      </c>
      <c r="H150" s="76">
        <f>H128+H132+H133+H143+H144+H145+H146+H147+H148</f>
        <v>179836.77739999999</v>
      </c>
      <c r="I150" s="76">
        <f>I128+I132+I133+I143+I144+I145+I146+I147+I148</f>
        <v>35236.10757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138</v>
      </c>
      <c r="D152" s="119"/>
      <c r="E152" s="119"/>
      <c r="F152" s="119"/>
      <c r="G152" s="119"/>
      <c r="H152" s="163"/>
      <c r="I152" s="156"/>
      <c r="J152" s="278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8"/>
    </row>
    <row r="154" spans="1:10" ht="14.25" customHeight="1" x14ac:dyDescent="0.25">
      <c r="A154" s="156"/>
      <c r="B154" s="52"/>
      <c r="C154" s="77" t="s">
        <v>150</v>
      </c>
      <c r="D154" s="119"/>
      <c r="E154" s="119"/>
      <c r="F154" s="119"/>
      <c r="G154" s="119"/>
      <c r="H154" s="163"/>
      <c r="I154" s="163"/>
      <c r="J154" s="278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8"/>
    </row>
    <row r="156" spans="1:10" ht="15.75" customHeight="1" x14ac:dyDescent="0.25">
      <c r="A156" s="156"/>
      <c r="B156" s="52"/>
      <c r="C156" s="77" t="s">
        <v>139</v>
      </c>
      <c r="D156" s="119"/>
      <c r="E156" s="119"/>
      <c r="F156" s="119"/>
      <c r="G156" s="119"/>
      <c r="H156" s="163"/>
      <c r="I156" s="163"/>
      <c r="J156" s="278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7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2"/>
      <c r="C165" s="149" t="s">
        <v>1</v>
      </c>
      <c r="D165" s="185"/>
      <c r="E165" s="279"/>
      <c r="F165" s="279"/>
      <c r="G165" s="279"/>
      <c r="H165" s="1"/>
      <c r="I165" s="1"/>
      <c r="J165" s="120"/>
    </row>
    <row r="166" spans="1:10" ht="14.1" customHeight="1" x14ac:dyDescent="0.25">
      <c r="A166" s="1"/>
      <c r="B166" s="252"/>
      <c r="C166" s="177" t="s">
        <v>6</v>
      </c>
      <c r="D166" s="189">
        <v>12735</v>
      </c>
      <c r="E166" s="279"/>
      <c r="F166" s="279"/>
      <c r="G166" s="279"/>
      <c r="H166" s="1"/>
      <c r="I166" s="1"/>
      <c r="J166" s="120"/>
    </row>
    <row r="167" spans="1:10" ht="14.1" customHeight="1" x14ac:dyDescent="0.25">
      <c r="A167" s="1"/>
      <c r="B167" s="252"/>
      <c r="C167" s="177" t="s">
        <v>9</v>
      </c>
      <c r="D167" s="189">
        <v>11325</v>
      </c>
      <c r="E167" s="279"/>
      <c r="F167" s="279"/>
      <c r="G167" s="233"/>
      <c r="H167" s="1"/>
      <c r="I167" s="1"/>
      <c r="J167" s="120"/>
    </row>
    <row r="168" spans="1:10" ht="14.1" customHeight="1" x14ac:dyDescent="0.25">
      <c r="A168" s="1"/>
      <c r="B168" s="252"/>
      <c r="C168" s="177" t="s">
        <v>74</v>
      </c>
      <c r="D168" s="189">
        <v>940</v>
      </c>
      <c r="E168" s="279"/>
      <c r="F168" s="279"/>
      <c r="G168" s="279"/>
      <c r="H168" s="1"/>
      <c r="I168" s="1"/>
      <c r="J168" s="120"/>
    </row>
    <row r="169" spans="1:10" ht="14.1" customHeight="1" x14ac:dyDescent="0.25">
      <c r="A169" s="1"/>
      <c r="B169" s="252"/>
      <c r="C169" s="177" t="s">
        <v>49</v>
      </c>
      <c r="D169" s="189">
        <v>25000</v>
      </c>
      <c r="E169" s="279"/>
      <c r="F169" s="279"/>
      <c r="G169" s="279"/>
      <c r="H169" s="1"/>
      <c r="I169" s="1"/>
      <c r="J169" s="120"/>
    </row>
    <row r="170" spans="1:10" ht="14.1" customHeight="1" x14ac:dyDescent="0.25">
      <c r="A170" s="1"/>
      <c r="B170" s="252"/>
      <c r="C170" s="1"/>
      <c r="D170" s="47"/>
      <c r="E170" s="279"/>
      <c r="F170" s="279"/>
      <c r="G170" s="279"/>
      <c r="H170" s="1"/>
      <c r="I170" s="1"/>
      <c r="J170" s="120"/>
    </row>
    <row r="171" spans="1:10" ht="3.75" customHeight="1" x14ac:dyDescent="0.25">
      <c r="A171" s="1"/>
      <c r="B171" s="239"/>
      <c r="C171" s="159"/>
      <c r="D171" s="159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144</v>
      </c>
      <c r="F174" s="15" t="s">
        <v>145</v>
      </c>
      <c r="G174" s="54" t="s">
        <v>146</v>
      </c>
      <c r="H174" s="15" t="s">
        <v>147</v>
      </c>
      <c r="I174" s="156"/>
      <c r="J174" s="278"/>
    </row>
    <row r="175" spans="1:10" ht="14.1" customHeight="1" x14ac:dyDescent="0.25">
      <c r="A175" s="1"/>
      <c r="B175" s="252"/>
      <c r="C175" s="141" t="s">
        <v>75</v>
      </c>
      <c r="D175" s="94">
        <v>4988</v>
      </c>
      <c r="E175" s="274">
        <f>35.9598</f>
        <v>35.959800000000001</v>
      </c>
      <c r="F175" s="274">
        <f>183.41805</f>
        <v>183.41804999999999</v>
      </c>
      <c r="G175" s="43">
        <f>D175-F175-F176</f>
        <v>4731.7343000000001</v>
      </c>
      <c r="H175" s="274">
        <f>212.01763</f>
        <v>212.01763</v>
      </c>
      <c r="I175" s="1"/>
      <c r="J175" s="120"/>
    </row>
    <row r="176" spans="1:10" ht="14.1" customHeight="1" x14ac:dyDescent="0.25">
      <c r="A176" s="1"/>
      <c r="B176" s="252"/>
      <c r="C176" s="137" t="s">
        <v>53</v>
      </c>
      <c r="D176" s="181"/>
      <c r="E176" s="152">
        <f>0</f>
        <v>0</v>
      </c>
      <c r="F176" s="152">
        <f>72.84765</f>
        <v>72.847650000000002</v>
      </c>
      <c r="G176" s="213"/>
      <c r="H176" s="152">
        <f>122.56177</f>
        <v>122.56177</v>
      </c>
      <c r="I176" s="1"/>
      <c r="J176" s="120"/>
    </row>
    <row r="177" spans="1:10" ht="15.6" customHeight="1" x14ac:dyDescent="0.25">
      <c r="A177" s="1"/>
      <c r="B177" s="252"/>
      <c r="C177" s="169" t="s">
        <v>76</v>
      </c>
      <c r="D177" s="98">
        <v>200</v>
      </c>
      <c r="E177" s="172">
        <f>0.3825</f>
        <v>0.38250000000000001</v>
      </c>
      <c r="F177" s="172">
        <f>0.56864</f>
        <v>0.56864000000000003</v>
      </c>
      <c r="G177" s="172">
        <f>D177-F177</f>
        <v>199.43136000000001</v>
      </c>
      <c r="H177" s="172">
        <f>18.29706</f>
        <v>18.297059999999998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7481</v>
      </c>
      <c r="E178" s="181">
        <f>E179+E180+E181</f>
        <v>3.0667200000000001</v>
      </c>
      <c r="F178" s="181">
        <f>F179+F180+F181</f>
        <v>6.2855999999999996</v>
      </c>
      <c r="G178" s="181">
        <f>D178-F178</f>
        <v>7474.7143999999998</v>
      </c>
      <c r="H178" s="181">
        <f>H179+H180+H181</f>
        <v>1.8715000000000002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0.99776</f>
        <v>0.99775999999999998</v>
      </c>
      <c r="F179" s="127">
        <f>1.4169</f>
        <v>1.4169</v>
      </c>
      <c r="G179" s="127"/>
      <c r="H179" s="127">
        <f>0.25192</f>
        <v>0.25191999999999998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0.8918</f>
        <v>0.89180000000000004</v>
      </c>
      <c r="F180" s="127">
        <f>1.49414</f>
        <v>1.49414</v>
      </c>
      <c r="G180" s="127"/>
      <c r="H180" s="127">
        <f>1.02794</f>
        <v>1.0279400000000001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1.17716</f>
        <v>1.17716</v>
      </c>
      <c r="F181" s="192">
        <f>3.37456</f>
        <v>3.3745599999999998</v>
      </c>
      <c r="G181" s="192"/>
      <c r="H181" s="192">
        <f>0.59164</f>
        <v>0.59164000000000005</v>
      </c>
      <c r="I181" s="186"/>
      <c r="J181" s="187"/>
    </row>
    <row r="182" spans="1:10" ht="14.1" customHeight="1" x14ac:dyDescent="0.25">
      <c r="A182" s="1"/>
      <c r="B182" s="252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2"/>
    </row>
    <row r="183" spans="1:10" ht="16.5" customHeight="1" x14ac:dyDescent="0.25">
      <c r="A183" s="1"/>
      <c r="B183" s="252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2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12735</v>
      </c>
      <c r="E184" s="194">
        <f>E175+E176+E177+E178+E182+E183</f>
        <v>39.409019999999998</v>
      </c>
      <c r="F184" s="194">
        <f>F175+F176+F177+F178+F182+F183</f>
        <v>263.11993999999999</v>
      </c>
      <c r="G184" s="194">
        <f>D184-F184</f>
        <v>12471.88006</v>
      </c>
      <c r="H184" s="194">
        <f>H175+H176+H177+H178+H182+H183</f>
        <v>354.74795999999998</v>
      </c>
      <c r="I184" s="163"/>
      <c r="J184" s="160"/>
    </row>
    <row r="185" spans="1:10" ht="42" customHeight="1" x14ac:dyDescent="0.25">
      <c r="A185" s="1"/>
      <c r="B185" s="198"/>
      <c r="C185" s="225" t="s">
        <v>118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1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1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4"/>
      <c r="D191" s="235"/>
      <c r="E191" s="235"/>
      <c r="F191" s="235"/>
      <c r="G191" s="235"/>
      <c r="H191" s="154"/>
      <c r="I191" s="154"/>
      <c r="J191" s="162"/>
    </row>
    <row r="192" spans="1:10" ht="15" customHeight="1" x14ac:dyDescent="0.25">
      <c r="A192" s="150"/>
      <c r="B192" s="252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2"/>
      <c r="C193" s="257" t="s">
        <v>84</v>
      </c>
      <c r="D193" s="268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2"/>
      <c r="C194" s="246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2"/>
      <c r="C195" s="246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2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2"/>
      <c r="C197" s="101" t="s">
        <v>125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2"/>
      <c r="C198" s="101" t="s">
        <v>126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2"/>
      <c r="C199" s="101" t="s">
        <v>129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39"/>
      <c r="C200" s="265"/>
      <c r="D200" s="159"/>
      <c r="E200" s="159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2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144</v>
      </c>
      <c r="F203" s="68" t="s">
        <v>145</v>
      </c>
      <c r="G203" s="68" t="s">
        <v>146</v>
      </c>
      <c r="H203" s="68" t="s">
        <v>147</v>
      </c>
      <c r="I203" s="1"/>
      <c r="J203" s="120"/>
    </row>
    <row r="204" spans="1:10" ht="15" customHeight="1" x14ac:dyDescent="0.25">
      <c r="A204" s="1"/>
      <c r="B204" s="252"/>
      <c r="C204" s="90" t="s">
        <v>4</v>
      </c>
      <c r="D204" s="124">
        <v>46282</v>
      </c>
      <c r="E204" s="124">
        <f>299.85611</f>
        <v>299.85611</v>
      </c>
      <c r="F204" s="124">
        <f>8458.71299</f>
        <v>8458.71299</v>
      </c>
      <c r="G204" s="124">
        <f>D204-F204</f>
        <v>37823.28701</v>
      </c>
      <c r="H204" s="124">
        <f>4452.61494</f>
        <v>4452.6149400000004</v>
      </c>
      <c r="I204" s="246"/>
      <c r="J204" s="120"/>
    </row>
    <row r="205" spans="1:10" ht="15" customHeight="1" x14ac:dyDescent="0.25">
      <c r="A205" s="1"/>
      <c r="B205" s="252"/>
      <c r="C205" s="90" t="s">
        <v>67</v>
      </c>
      <c r="D205" s="124">
        <v>100</v>
      </c>
      <c r="E205" s="124">
        <f>0.103</f>
        <v>0.10299999999999999</v>
      </c>
      <c r="F205" s="124">
        <f>0.58522</f>
        <v>0.58521999999999996</v>
      </c>
      <c r="G205" s="124">
        <f>D205-F205</f>
        <v>99.414779999999993</v>
      </c>
      <c r="H205" s="124">
        <f>0.3675</f>
        <v>0.36749999999999999</v>
      </c>
      <c r="I205" s="246"/>
      <c r="J205" s="120"/>
    </row>
    <row r="206" spans="1:10" ht="15.75" customHeight="1" x14ac:dyDescent="0.25">
      <c r="A206" s="1"/>
      <c r="B206" s="252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6"/>
      <c r="J206" s="120"/>
    </row>
    <row r="207" spans="1:10" ht="16.5" customHeight="1" x14ac:dyDescent="0.25">
      <c r="A207" s="1"/>
      <c r="B207" s="252"/>
      <c r="C207" s="179" t="s">
        <v>87</v>
      </c>
      <c r="D207" s="190">
        <f>SUM(D204:D206)</f>
        <v>46418</v>
      </c>
      <c r="E207" s="190">
        <f>SUM(E204:E206)</f>
        <v>299.95911000000001</v>
      </c>
      <c r="F207" s="190">
        <f>SUM(F204:F206)</f>
        <v>8459.2982100000008</v>
      </c>
      <c r="G207" s="190">
        <f>D207-F207</f>
        <v>37958.701789999999</v>
      </c>
      <c r="H207" s="190">
        <f>SUM(H204:H206)</f>
        <v>4452.9824400000007</v>
      </c>
      <c r="I207" s="246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2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0"/>
      <c r="B243" s="1"/>
      <c r="C243" s="211" t="s">
        <v>120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1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4"/>
      <c r="D245" s="235"/>
      <c r="E245" s="235"/>
      <c r="F245" s="235"/>
      <c r="G245" s="235"/>
      <c r="H245" s="154"/>
      <c r="I245" s="154"/>
      <c r="J245" s="162"/>
    </row>
    <row r="246" spans="1:10" ht="23.25" customHeight="1" x14ac:dyDescent="0.25">
      <c r="A246" s="1"/>
      <c r="B246" s="252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2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144</v>
      </c>
      <c r="F248" s="68" t="s">
        <v>145</v>
      </c>
      <c r="G248" s="68" t="s">
        <v>146</v>
      </c>
      <c r="H248" s="68" t="s">
        <v>147</v>
      </c>
      <c r="I248" s="1"/>
      <c r="J248" s="120"/>
    </row>
    <row r="249" spans="1:10" ht="15" customHeight="1" x14ac:dyDescent="0.25">
      <c r="A249" s="1"/>
      <c r="B249" s="252"/>
      <c r="C249" s="90" t="s">
        <v>127</v>
      </c>
      <c r="D249" s="124">
        <v>3987</v>
      </c>
      <c r="E249" s="75">
        <f>E250+E251</f>
        <v>37.4739</v>
      </c>
      <c r="F249" s="75">
        <f>F250+F251</f>
        <v>421.89004</v>
      </c>
      <c r="G249" s="75">
        <f>D249-F249</f>
        <v>3565.1099599999998</v>
      </c>
      <c r="H249" s="75">
        <f>H250+H251</f>
        <v>213.3811</v>
      </c>
      <c r="I249" s="246"/>
      <c r="J249" s="120"/>
    </row>
    <row r="250" spans="1:10" ht="15" customHeight="1" x14ac:dyDescent="0.25">
      <c r="A250" s="1"/>
      <c r="B250" s="252"/>
      <c r="C250" s="177" t="s">
        <v>8</v>
      </c>
      <c r="D250" s="124"/>
      <c r="E250" s="75">
        <f>25.3036</f>
        <v>25.303599999999999</v>
      </c>
      <c r="F250" s="75">
        <f>344.89886</f>
        <v>344.89886000000001</v>
      </c>
      <c r="G250" s="75"/>
      <c r="H250" s="75">
        <f>86.3782</f>
        <v>86.378200000000007</v>
      </c>
      <c r="I250" s="246"/>
      <c r="J250" s="120"/>
    </row>
    <row r="251" spans="1:10" ht="15" customHeight="1" x14ac:dyDescent="0.25">
      <c r="A251" s="1"/>
      <c r="B251" s="252"/>
      <c r="C251" s="177" t="s">
        <v>67</v>
      </c>
      <c r="D251" s="124"/>
      <c r="E251" s="124">
        <f>12.1703</f>
        <v>12.170299999999999</v>
      </c>
      <c r="F251" s="124">
        <f>76.99118</f>
        <v>76.99118</v>
      </c>
      <c r="G251" s="168"/>
      <c r="H251" s="124">
        <f>127.0029</f>
        <v>127.0029</v>
      </c>
      <c r="I251" s="246"/>
      <c r="J251" s="120"/>
    </row>
    <row r="252" spans="1:10" ht="15" customHeight="1" x14ac:dyDescent="0.25">
      <c r="A252" s="1"/>
      <c r="B252" s="252"/>
      <c r="C252" s="90" t="s">
        <v>128</v>
      </c>
      <c r="D252" s="124">
        <v>4613</v>
      </c>
      <c r="E252" s="75">
        <f>166.97297</f>
        <v>166.97297</v>
      </c>
      <c r="F252" s="75">
        <f>663.19835</f>
        <v>663.19835</v>
      </c>
      <c r="G252" s="75">
        <f>D252-F252</f>
        <v>3949.8016499999999</v>
      </c>
      <c r="H252" s="75">
        <f>578.36784</f>
        <v>578.36784</v>
      </c>
      <c r="I252" s="246"/>
      <c r="J252" s="120"/>
    </row>
    <row r="253" spans="1:10" ht="16.5" customHeight="1" x14ac:dyDescent="0.25">
      <c r="A253" s="1"/>
      <c r="B253" s="252"/>
      <c r="C253" s="179" t="s">
        <v>87</v>
      </c>
      <c r="D253" s="190">
        <f>D252+D249</f>
        <v>8600</v>
      </c>
      <c r="E253" s="190">
        <f>SUM(E249:E252)</f>
        <v>241.92077</v>
      </c>
      <c r="F253" s="190">
        <f>SUM(F249:F252)</f>
        <v>1506.9784300000001</v>
      </c>
      <c r="G253" s="190">
        <f>D253-F253</f>
        <v>7093.0215699999999</v>
      </c>
      <c r="H253" s="190">
        <f>SUM(H249:H252)</f>
        <v>1005.13004</v>
      </c>
      <c r="I253" s="246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2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6"/>
    </row>
    <row r="289" spans="1:10" ht="21.75" customHeight="1" x14ac:dyDescent="0.35">
      <c r="A289" s="150"/>
      <c r="B289" s="1"/>
      <c r="C289" s="211" t="s">
        <v>121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1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4"/>
      <c r="D291" s="235"/>
      <c r="E291" s="235"/>
      <c r="F291" s="235"/>
      <c r="G291" s="235"/>
      <c r="H291" s="154"/>
      <c r="I291" s="154"/>
      <c r="J291" s="162"/>
    </row>
    <row r="292" spans="1:10" ht="23.25" customHeight="1" x14ac:dyDescent="0.25">
      <c r="A292" s="1"/>
      <c r="B292" s="252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2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2"/>
      <c r="C294" s="68" t="s">
        <v>16</v>
      </c>
      <c r="D294" s="79" t="s">
        <v>2</v>
      </c>
      <c r="E294" s="68" t="s">
        <v>144</v>
      </c>
      <c r="F294" s="68" t="s">
        <v>145</v>
      </c>
      <c r="G294" s="68" t="s">
        <v>146</v>
      </c>
      <c r="H294" s="68" t="s">
        <v>147</v>
      </c>
      <c r="I294" s="1"/>
      <c r="J294" s="120"/>
    </row>
    <row r="295" spans="1:10" ht="15" customHeight="1" x14ac:dyDescent="0.25">
      <c r="A295" s="1"/>
      <c r="B295" s="252"/>
      <c r="C295" s="90" t="s">
        <v>127</v>
      </c>
      <c r="D295" s="124">
        <v>5090</v>
      </c>
      <c r="E295" s="75">
        <f>E296+E297</f>
        <v>13.857659999999999</v>
      </c>
      <c r="F295" s="75">
        <f>F296+F297</f>
        <v>362.11956999999995</v>
      </c>
      <c r="G295" s="75">
        <f>D295-F295</f>
        <v>4727.8804300000002</v>
      </c>
      <c r="H295" s="75">
        <f>H296+H297</f>
        <v>206.31563</v>
      </c>
      <c r="I295" s="246"/>
      <c r="J295" s="120"/>
    </row>
    <row r="296" spans="1:10" ht="15" customHeight="1" x14ac:dyDescent="0.25">
      <c r="A296" s="1"/>
      <c r="B296" s="252"/>
      <c r="C296" s="177" t="s">
        <v>8</v>
      </c>
      <c r="D296" s="124"/>
      <c r="E296" s="75">
        <f>0.8806</f>
        <v>0.88060000000000005</v>
      </c>
      <c r="F296" s="75">
        <f>315.30535</f>
        <v>315.30534999999998</v>
      </c>
      <c r="G296" s="75"/>
      <c r="H296" s="75">
        <f>129.33811</f>
        <v>129.33811</v>
      </c>
      <c r="I296" s="246"/>
      <c r="J296" s="120"/>
    </row>
    <row r="297" spans="1:10" ht="15" customHeight="1" x14ac:dyDescent="0.25">
      <c r="A297" s="1"/>
      <c r="B297" s="252"/>
      <c r="C297" s="177" t="s">
        <v>67</v>
      </c>
      <c r="D297" s="124"/>
      <c r="E297" s="124">
        <f>12.97706</f>
        <v>12.97706</v>
      </c>
      <c r="F297" s="124">
        <f>46.81422</f>
        <v>46.814219999999999</v>
      </c>
      <c r="G297" s="168"/>
      <c r="H297" s="124">
        <f>76.97752</f>
        <v>76.977519999999998</v>
      </c>
      <c r="I297" s="246"/>
      <c r="J297" s="120"/>
    </row>
    <row r="298" spans="1:10" ht="15" customHeight="1" x14ac:dyDescent="0.25">
      <c r="A298" s="1"/>
      <c r="B298" s="252"/>
      <c r="C298" s="90" t="s">
        <v>128</v>
      </c>
      <c r="D298" s="124">
        <v>2981</v>
      </c>
      <c r="E298" s="75">
        <f>85.59936</f>
        <v>85.599360000000004</v>
      </c>
      <c r="F298" s="75">
        <f>481.30528</f>
        <v>481.30527999999998</v>
      </c>
      <c r="G298" s="75">
        <f>D298-F298</f>
        <v>2499.69472</v>
      </c>
      <c r="H298" s="75">
        <f>478.85328</f>
        <v>478.85327999999998</v>
      </c>
      <c r="I298" s="246"/>
      <c r="J298" s="120"/>
    </row>
    <row r="299" spans="1:10" ht="16.5" customHeight="1" x14ac:dyDescent="0.25">
      <c r="A299" s="1"/>
      <c r="B299" s="252"/>
      <c r="C299" s="179" t="s">
        <v>87</v>
      </c>
      <c r="D299" s="190">
        <f>D298+D295</f>
        <v>8071</v>
      </c>
      <c r="E299" s="190">
        <f>SUM(E295:E298)</f>
        <v>113.31468000000001</v>
      </c>
      <c r="F299" s="190">
        <f>SUM(F295:F298)</f>
        <v>1205.5444199999999</v>
      </c>
      <c r="G299" s="190">
        <f>D299-F299</f>
        <v>6865.4555799999998</v>
      </c>
      <c r="H299" s="190">
        <f>SUM(H295:H298)</f>
        <v>891.48453999999992</v>
      </c>
      <c r="I299" s="246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2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6"/>
    </row>
    <row r="335" spans="1:10" ht="30" customHeight="1" x14ac:dyDescent="0.25">
      <c r="A335" s="216"/>
      <c r="B335" s="216"/>
      <c r="C335" s="217" t="s">
        <v>89</v>
      </c>
      <c r="D335" s="216"/>
      <c r="E335" s="216"/>
      <c r="F335" s="216"/>
      <c r="G335" s="216"/>
      <c r="H335" s="216"/>
      <c r="I335" s="216"/>
      <c r="J335" s="222"/>
    </row>
    <row r="336" spans="1:10" ht="30" customHeight="1" x14ac:dyDescent="0.25">
      <c r="A336" s="216" t="s">
        <v>116</v>
      </c>
      <c r="B336" s="216"/>
      <c r="C336" s="217"/>
      <c r="D336" s="216"/>
      <c r="E336" s="216"/>
      <c r="F336" s="216"/>
      <c r="G336" s="216"/>
      <c r="H336" s="216"/>
      <c r="I336" s="216"/>
      <c r="J336" s="222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2"/>
      <c r="C339" s="257" t="s">
        <v>84</v>
      </c>
      <c r="D339" s="268">
        <v>3851</v>
      </c>
      <c r="E339" s="150"/>
      <c r="F339" s="223"/>
      <c r="G339" s="1"/>
      <c r="H339" s="1"/>
      <c r="I339" s="1"/>
      <c r="J339" s="120"/>
    </row>
    <row r="340" spans="1:10" ht="14.1" customHeight="1" x14ac:dyDescent="0.25">
      <c r="A340" s="1"/>
      <c r="B340" s="252"/>
      <c r="C340" s="246" t="s">
        <v>90</v>
      </c>
      <c r="D340" s="46">
        <v>11613</v>
      </c>
      <c r="E340" s="150"/>
      <c r="F340" s="223"/>
      <c r="G340" s="1"/>
      <c r="H340" s="1"/>
      <c r="I340" s="1"/>
      <c r="J340" s="120"/>
    </row>
    <row r="341" spans="1:10" ht="14.1" customHeight="1" x14ac:dyDescent="0.25">
      <c r="A341" s="1"/>
      <c r="B341" s="252"/>
      <c r="C341" s="246" t="s">
        <v>91</v>
      </c>
      <c r="D341" s="46">
        <v>9054</v>
      </c>
      <c r="E341" s="150"/>
      <c r="F341" s="223"/>
      <c r="G341" s="1"/>
      <c r="H341" s="1"/>
      <c r="I341" s="1"/>
      <c r="J341" s="120"/>
    </row>
    <row r="342" spans="1:10" ht="13.5" customHeight="1" x14ac:dyDescent="0.25">
      <c r="A342" s="1"/>
      <c r="B342" s="252"/>
      <c r="C342" s="246" t="s">
        <v>130</v>
      </c>
      <c r="D342" s="46">
        <v>382</v>
      </c>
      <c r="E342" s="150"/>
      <c r="F342" s="223"/>
      <c r="G342" s="1"/>
      <c r="H342" s="1"/>
      <c r="I342" s="1"/>
      <c r="J342" s="120"/>
    </row>
    <row r="343" spans="1:10" ht="14.25" customHeight="1" x14ac:dyDescent="0.25">
      <c r="A343" s="1"/>
      <c r="B343" s="252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2"/>
      <c r="C344" s="226" t="s">
        <v>92</v>
      </c>
      <c r="D344" s="227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2"/>
      <c r="C345" s="101" t="s">
        <v>102</v>
      </c>
      <c r="D345" s="228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2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29"/>
      <c r="C347" s="232" t="s">
        <v>15</v>
      </c>
      <c r="D347" s="232"/>
      <c r="E347" s="232"/>
      <c r="F347" s="232"/>
      <c r="G347" s="232"/>
      <c r="H347" s="232"/>
      <c r="I347" s="232"/>
      <c r="J347" s="236"/>
    </row>
    <row r="348" spans="1:10" ht="14.1" customHeight="1" x14ac:dyDescent="0.25">
      <c r="A348" s="1"/>
      <c r="B348" s="238"/>
      <c r="C348" s="240"/>
      <c r="D348" s="240"/>
      <c r="E348" s="240"/>
      <c r="F348" s="240"/>
      <c r="G348" s="240"/>
      <c r="H348" s="240"/>
      <c r="I348" s="240"/>
      <c r="J348" s="120"/>
    </row>
    <row r="349" spans="1:10" ht="54" customHeight="1" x14ac:dyDescent="0.25">
      <c r="A349" s="1"/>
      <c r="B349" s="252"/>
      <c r="C349" s="68" t="s">
        <v>16</v>
      </c>
      <c r="D349" s="241" t="s">
        <v>2</v>
      </c>
      <c r="E349" s="68" t="s">
        <v>144</v>
      </c>
      <c r="F349" s="68" t="s">
        <v>145</v>
      </c>
      <c r="G349" s="68" t="s">
        <v>146</v>
      </c>
      <c r="H349" s="68" t="s">
        <v>147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5.21613</f>
        <v>5.2161299999999997</v>
      </c>
      <c r="F350" s="124">
        <f>53.05765</f>
        <v>53.057650000000002</v>
      </c>
      <c r="G350" s="124">
        <f>D350-F350</f>
        <v>746.94235000000003</v>
      </c>
      <c r="H350" s="124">
        <f>51.57614</f>
        <v>51.576140000000002</v>
      </c>
      <c r="I350" s="67"/>
      <c r="J350" s="242"/>
    </row>
    <row r="351" spans="1:10" ht="14.1" customHeight="1" x14ac:dyDescent="0.25">
      <c r="A351" s="1"/>
      <c r="B351" s="252"/>
      <c r="C351" s="90" t="s">
        <v>94</v>
      </c>
      <c r="D351" s="244">
        <v>3041</v>
      </c>
      <c r="E351" s="124">
        <f>62.59941</f>
        <v>62.599409999999999</v>
      </c>
      <c r="F351" s="124">
        <f>217.82898</f>
        <v>217.82898</v>
      </c>
      <c r="G351" s="124">
        <f>D351-F351</f>
        <v>2823.1710199999998</v>
      </c>
      <c r="H351" s="124">
        <f>255.57217</f>
        <v>255.57217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4">
        <v>10</v>
      </c>
      <c r="E352" s="168">
        <f>0.295</f>
        <v>0.29499999999999998</v>
      </c>
      <c r="F352" s="168">
        <f>0.61006</f>
        <v>0.61006000000000005</v>
      </c>
      <c r="G352" s="124">
        <f>D352-F352</f>
        <v>9.3899399999999993</v>
      </c>
      <c r="H352" s="168">
        <f>0.09004</f>
        <v>9.0039999999999995E-2</v>
      </c>
      <c r="I352" s="67"/>
      <c r="J352" s="247"/>
    </row>
    <row r="353" spans="1:10" ht="18.75" customHeight="1" x14ac:dyDescent="0.25">
      <c r="A353" s="67"/>
      <c r="B353" s="248"/>
      <c r="C353" s="146" t="s">
        <v>95</v>
      </c>
      <c r="D353" s="220"/>
      <c r="E353" s="168">
        <f>0</f>
        <v>0</v>
      </c>
      <c r="F353" s="168">
        <f>0</f>
        <v>0</v>
      </c>
      <c r="G353" s="124">
        <f>D353-F353</f>
        <v>0</v>
      </c>
      <c r="H353" s="168">
        <f>0</f>
        <v>0</v>
      </c>
      <c r="I353" s="282"/>
      <c r="J353" s="120"/>
    </row>
    <row r="354" spans="1:10" ht="14.1" customHeight="1" x14ac:dyDescent="0.25">
      <c r="A354" s="1"/>
      <c r="B354" s="252"/>
      <c r="C354" s="179" t="s">
        <v>87</v>
      </c>
      <c r="D354" s="6">
        <f>D339</f>
        <v>3851</v>
      </c>
      <c r="E354" s="190">
        <f>SUM(E350:E353)</f>
        <v>68.11054</v>
      </c>
      <c r="F354" s="190">
        <f>SUM(F350:F353)</f>
        <v>271.49669</v>
      </c>
      <c r="G354" s="190">
        <f>D354-F354</f>
        <v>3579.5033100000001</v>
      </c>
      <c r="H354" s="190">
        <f>H350+H351+H352+H353</f>
        <v>307.23834999999997</v>
      </c>
      <c r="I354" s="1"/>
      <c r="J354" s="120"/>
    </row>
    <row r="355" spans="1:10" ht="14.1" customHeight="1" x14ac:dyDescent="0.25">
      <c r="A355" s="1"/>
      <c r="B355" s="252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6"/>
      <c r="B364" s="1"/>
      <c r="C364" s="211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7"/>
      <c r="D365" s="237"/>
      <c r="E365" s="237"/>
      <c r="F365" s="237"/>
      <c r="G365" s="237"/>
      <c r="H365" s="237"/>
      <c r="I365" s="237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7" t="s">
        <v>84</v>
      </c>
      <c r="D368" s="268">
        <v>35008</v>
      </c>
      <c r="E368" s="250" t="s">
        <v>4</v>
      </c>
      <c r="F368" s="103">
        <v>21508</v>
      </c>
      <c r="G368" s="246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6" t="s">
        <v>91</v>
      </c>
      <c r="D369" s="46">
        <v>23995</v>
      </c>
      <c r="E369" s="178" t="s">
        <v>94</v>
      </c>
      <c r="F369" s="47">
        <v>8000</v>
      </c>
      <c r="G369" s="246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6" t="s">
        <v>90</v>
      </c>
      <c r="D370" s="46">
        <v>8105</v>
      </c>
      <c r="E370" s="178" t="s">
        <v>59</v>
      </c>
      <c r="F370" s="47">
        <v>5500</v>
      </c>
      <c r="G370" s="246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6"/>
      <c r="D371" s="46"/>
      <c r="E371" s="131"/>
      <c r="F371" s="144"/>
      <c r="G371" s="246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4" t="s">
        <v>142</v>
      </c>
      <c r="D373" s="178"/>
      <c r="E373" s="178"/>
      <c r="F373" s="178"/>
      <c r="G373" s="1"/>
      <c r="H373" s="178"/>
      <c r="I373" s="178"/>
      <c r="J373" s="242"/>
    </row>
    <row r="374" spans="1:10" ht="13.35" customHeight="1" x14ac:dyDescent="0.25">
      <c r="B374" s="72"/>
      <c r="C374" s="215" t="s">
        <v>143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29"/>
      <c r="C377" s="232" t="s">
        <v>15</v>
      </c>
      <c r="D377" s="232"/>
      <c r="E377" s="232"/>
      <c r="F377" s="232"/>
      <c r="G377" s="232"/>
      <c r="H377" s="232"/>
      <c r="I377" s="232"/>
      <c r="J377" s="236"/>
    </row>
    <row r="378" spans="1:10" ht="18.75" customHeight="1" x14ac:dyDescent="0.25">
      <c r="B378" s="198"/>
      <c r="C378" s="222"/>
      <c r="D378" s="222"/>
      <c r="E378" s="222"/>
      <c r="F378" s="222"/>
      <c r="G378" s="222"/>
      <c r="H378" s="222"/>
      <c r="I378" s="222"/>
      <c r="J378" s="13"/>
    </row>
    <row r="379" spans="1:10" ht="64.5" customHeight="1" x14ac:dyDescent="0.25">
      <c r="B379" s="72"/>
      <c r="C379" s="221" t="s">
        <v>16</v>
      </c>
      <c r="D379" s="230" t="s">
        <v>17</v>
      </c>
      <c r="E379" s="68" t="s">
        <v>103</v>
      </c>
      <c r="F379" s="221" t="s">
        <v>144</v>
      </c>
      <c r="G379" s="221" t="s">
        <v>145</v>
      </c>
      <c r="H379" s="221" t="s">
        <v>146</v>
      </c>
      <c r="I379" s="221" t="s">
        <v>147</v>
      </c>
      <c r="J379" s="130"/>
    </row>
    <row r="380" spans="1:10" ht="14.1" customHeight="1" x14ac:dyDescent="0.25">
      <c r="A380" s="216"/>
      <c r="B380" s="72"/>
      <c r="C380" s="245" t="s">
        <v>19</v>
      </c>
      <c r="D380" s="249">
        <f t="shared" ref="D380:I380" si="17">D384+D383+D382+D381</f>
        <v>21508</v>
      </c>
      <c r="E380" s="249">
        <v>22969</v>
      </c>
      <c r="F380" s="251">
        <f t="shared" si="17"/>
        <v>49.397910000000003</v>
      </c>
      <c r="G380" s="251">
        <f t="shared" si="17"/>
        <v>506.78328999999997</v>
      </c>
      <c r="H380" s="251">
        <f>H384+H383+H382+H381</f>
        <v>22462.216710000001</v>
      </c>
      <c r="I380" s="251">
        <f t="shared" si="17"/>
        <v>1164.7152799999999</v>
      </c>
      <c r="J380" s="130"/>
    </row>
    <row r="381" spans="1:10" ht="14.1" customHeight="1" x14ac:dyDescent="0.25">
      <c r="A381" s="216"/>
      <c r="B381" s="72"/>
      <c r="C381" s="253" t="s">
        <v>104</v>
      </c>
      <c r="D381" s="254">
        <v>12051</v>
      </c>
      <c r="E381" s="254">
        <v>13190</v>
      </c>
      <c r="F381" s="255">
        <f>0</f>
        <v>0</v>
      </c>
      <c r="G381" s="255">
        <f>184.24486</f>
        <v>184.24485999999999</v>
      </c>
      <c r="H381" s="255">
        <f t="shared" ref="H381:H385" si="18">E381-G381</f>
        <v>13005.755139999999</v>
      </c>
      <c r="I381" s="255">
        <f>884.0745</f>
        <v>884.07449999999994</v>
      </c>
      <c r="J381" s="130"/>
    </row>
    <row r="382" spans="1:10" ht="14.1" customHeight="1" x14ac:dyDescent="0.25">
      <c r="A382" s="216"/>
      <c r="B382" s="72"/>
      <c r="C382" s="258" t="s">
        <v>21</v>
      </c>
      <c r="D382" s="254">
        <v>3136</v>
      </c>
      <c r="E382" s="254">
        <v>3433</v>
      </c>
      <c r="F382" s="255">
        <f>0</f>
        <v>0</v>
      </c>
      <c r="G382" s="255">
        <f>0</f>
        <v>0</v>
      </c>
      <c r="H382" s="255">
        <f t="shared" si="18"/>
        <v>3433</v>
      </c>
      <c r="I382" s="255">
        <f>0</f>
        <v>0</v>
      </c>
      <c r="J382" s="130"/>
    </row>
    <row r="383" spans="1:10" ht="14.1" customHeight="1" x14ac:dyDescent="0.25">
      <c r="A383" s="216"/>
      <c r="B383" s="72"/>
      <c r="C383" s="258" t="s">
        <v>100</v>
      </c>
      <c r="D383" s="254">
        <v>1454</v>
      </c>
      <c r="E383" s="254">
        <v>1483</v>
      </c>
      <c r="F383" s="255">
        <f>49.39791</f>
        <v>49.397910000000003</v>
      </c>
      <c r="G383" s="255">
        <f>308.96063</f>
        <v>308.96062999999998</v>
      </c>
      <c r="H383" s="255">
        <f t="shared" si="18"/>
        <v>1174.03937</v>
      </c>
      <c r="I383" s="255">
        <f>262.38498</f>
        <v>262.38497999999998</v>
      </c>
      <c r="J383" s="130"/>
    </row>
    <row r="384" spans="1:10" ht="14.1" customHeight="1" x14ac:dyDescent="0.25">
      <c r="A384" s="216"/>
      <c r="B384" s="72"/>
      <c r="C384" s="260" t="s">
        <v>105</v>
      </c>
      <c r="D384" s="261">
        <v>4867</v>
      </c>
      <c r="E384" s="261">
        <v>4863</v>
      </c>
      <c r="F384" s="255">
        <f>0</f>
        <v>0</v>
      </c>
      <c r="G384" s="255">
        <f>13.5778</f>
        <v>13.5778</v>
      </c>
      <c r="H384" s="255">
        <f t="shared" si="18"/>
        <v>4849.4222</v>
      </c>
      <c r="I384" s="255">
        <f>18.2558</f>
        <v>18.255800000000001</v>
      </c>
      <c r="J384" s="130"/>
    </row>
    <row r="385" spans="1:10" ht="14.1" customHeight="1" x14ac:dyDescent="0.25">
      <c r="A385" s="216"/>
      <c r="B385" s="72"/>
      <c r="C385" s="263" t="s">
        <v>59</v>
      </c>
      <c r="D385" s="264">
        <v>5500</v>
      </c>
      <c r="E385" s="264">
        <v>5500</v>
      </c>
      <c r="F385" s="266">
        <f>0.355</f>
        <v>0.35499999999999998</v>
      </c>
      <c r="G385" s="266">
        <f>0.898</f>
        <v>0.89800000000000002</v>
      </c>
      <c r="H385" s="266">
        <f t="shared" si="18"/>
        <v>5499.1019999999999</v>
      </c>
      <c r="I385" s="266">
        <f>18.401</f>
        <v>18.401</v>
      </c>
      <c r="J385" s="130"/>
    </row>
    <row r="386" spans="1:10" ht="14.1" customHeight="1" x14ac:dyDescent="0.25">
      <c r="A386" s="216"/>
      <c r="B386" s="72"/>
      <c r="C386" s="245" t="s">
        <v>22</v>
      </c>
      <c r="D386" s="249">
        <v>8000</v>
      </c>
      <c r="E386" s="249">
        <v>8000</v>
      </c>
      <c r="F386" s="267">
        <f>F388+F387</f>
        <v>204.55018000000001</v>
      </c>
      <c r="G386" s="267">
        <f>G388+G387</f>
        <v>498.08289000000002</v>
      </c>
      <c r="H386" s="267">
        <f>E386-G386</f>
        <v>7501.9171100000003</v>
      </c>
      <c r="I386" s="267">
        <f>I388+I387</f>
        <v>684.72847999999999</v>
      </c>
      <c r="J386" s="130"/>
    </row>
    <row r="387" spans="1:10" ht="14.1" customHeight="1" x14ac:dyDescent="0.25">
      <c r="A387" s="216"/>
      <c r="B387" s="72"/>
      <c r="C387" s="258" t="s">
        <v>53</v>
      </c>
      <c r="D387" s="269"/>
      <c r="E387" s="254"/>
      <c r="F387" s="255">
        <f>2.997</f>
        <v>2.9969999999999999</v>
      </c>
      <c r="G387" s="255">
        <f>2.997</f>
        <v>2.9969999999999999</v>
      </c>
      <c r="H387" s="255"/>
      <c r="I387" s="255">
        <f>200.49255</f>
        <v>200.49254999999999</v>
      </c>
      <c r="J387" s="130"/>
    </row>
    <row r="388" spans="1:10" ht="14.1" customHeight="1" x14ac:dyDescent="0.25">
      <c r="A388" s="216"/>
      <c r="B388" s="72"/>
      <c r="C388" s="271" t="s">
        <v>106</v>
      </c>
      <c r="D388" s="272"/>
      <c r="E388" s="275"/>
      <c r="F388" s="276">
        <f>201.55318</f>
        <v>201.55318</v>
      </c>
      <c r="G388" s="276">
        <f>495.08589</f>
        <v>495.08589000000001</v>
      </c>
      <c r="H388" s="276"/>
      <c r="I388" s="276">
        <f>484.23593</f>
        <v>484.23593</v>
      </c>
      <c r="J388" s="130"/>
    </row>
    <row r="389" spans="1:10" ht="14.1" customHeight="1" x14ac:dyDescent="0.25">
      <c r="A389" s="216"/>
      <c r="B389" s="72"/>
      <c r="C389" s="263" t="s">
        <v>34</v>
      </c>
      <c r="D389" s="264">
        <v>13</v>
      </c>
      <c r="E389" s="264">
        <v>13</v>
      </c>
      <c r="F389" s="266">
        <f>0.0084</f>
        <v>8.3999999999999995E-3</v>
      </c>
      <c r="G389" s="266">
        <f>0.0264</f>
        <v>2.64E-2</v>
      </c>
      <c r="H389" s="266">
        <f>E389-G389</f>
        <v>12.973599999999999</v>
      </c>
      <c r="I389" s="266">
        <f>0.0567</f>
        <v>5.67E-2</v>
      </c>
      <c r="J389" s="130"/>
    </row>
    <row r="390" spans="1:10" ht="14.1" customHeight="1" x14ac:dyDescent="0.25">
      <c r="A390" s="216"/>
      <c r="B390" s="72"/>
      <c r="C390" s="277" t="s">
        <v>107</v>
      </c>
      <c r="D390" s="280"/>
      <c r="E390" s="281"/>
      <c r="F390" s="266">
        <f>0.0972</f>
        <v>9.7199999999999995E-2</v>
      </c>
      <c r="G390" s="266">
        <f>2.45552</f>
        <v>2.4555199999999999</v>
      </c>
      <c r="H390" s="266">
        <f>E390-G390</f>
        <v>-2.4555199999999999</v>
      </c>
      <c r="I390" s="266">
        <f>1.02328</f>
        <v>1.02328</v>
      </c>
      <c r="J390" s="130"/>
    </row>
    <row r="391" spans="1:10" ht="19.5" customHeight="1" x14ac:dyDescent="0.25">
      <c r="A391" s="216"/>
      <c r="B391" s="72"/>
      <c r="C391" s="283" t="s">
        <v>40</v>
      </c>
      <c r="D391" s="284">
        <f>D380+D385+D386+D389+D390</f>
        <v>35021</v>
      </c>
      <c r="E391" s="284">
        <v>36482</v>
      </c>
      <c r="F391" s="285">
        <f t="shared" ref="F391:I391" si="19">F380+F385+F386+F389+F390</f>
        <v>254.40868999999998</v>
      </c>
      <c r="G391" s="285">
        <f t="shared" si="19"/>
        <v>1008.2461</v>
      </c>
      <c r="H391" s="285">
        <f>H380+H385+H386+H389+H390</f>
        <v>35473.753899999996</v>
      </c>
      <c r="I391" s="285">
        <f t="shared" si="19"/>
        <v>1868.9247400000002</v>
      </c>
      <c r="J391" s="130"/>
    </row>
    <row r="392" spans="1:10" ht="14.1" customHeight="1" x14ac:dyDescent="0.25">
      <c r="A392" s="216"/>
      <c r="B392" s="72"/>
      <c r="C392" s="161" t="s">
        <v>108</v>
      </c>
      <c r="D392" s="287"/>
      <c r="E392" s="287"/>
      <c r="F392" s="4"/>
      <c r="G392" s="4"/>
      <c r="H392" s="5"/>
      <c r="I392" s="5"/>
      <c r="J392" s="130"/>
    </row>
    <row r="393" spans="1:10" ht="14.1" customHeight="1" x14ac:dyDescent="0.25">
      <c r="A393" s="216"/>
      <c r="B393" s="72"/>
      <c r="C393" s="101" t="s">
        <v>141</v>
      </c>
      <c r="D393" s="287"/>
      <c r="E393" s="287"/>
      <c r="F393" s="4"/>
      <c r="G393" s="4"/>
      <c r="H393" s="7"/>
      <c r="I393" s="5"/>
      <c r="J393" s="130"/>
    </row>
    <row r="394" spans="1:10" ht="14.1" customHeight="1" x14ac:dyDescent="0.25">
      <c r="A394" s="216"/>
      <c r="B394" s="72"/>
      <c r="C394" s="101" t="s">
        <v>140</v>
      </c>
      <c r="D394" s="287"/>
      <c r="E394" s="287"/>
      <c r="F394" s="4"/>
      <c r="G394" s="4"/>
      <c r="H394" s="5"/>
      <c r="I394" s="7"/>
      <c r="J394" s="130"/>
    </row>
    <row r="395" spans="1:10" ht="15.75" customHeight="1" x14ac:dyDescent="0.25">
      <c r="A395" s="216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6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6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6"/>
      <c r="C398" s="150" t="s">
        <v>116</v>
      </c>
      <c r="D398" s="156"/>
    </row>
    <row r="399" spans="1:10" ht="14.1" customHeight="1" x14ac:dyDescent="0.25">
      <c r="A399" s="216"/>
      <c r="B399" s="123"/>
      <c r="C399" s="237"/>
      <c r="D399" s="17"/>
      <c r="E399" s="237"/>
      <c r="F399" s="237"/>
      <c r="G399" s="237"/>
      <c r="H399" s="237"/>
      <c r="I399" s="237"/>
      <c r="J399" s="60"/>
    </row>
    <row r="400" spans="1:10" ht="14.1" customHeight="1" x14ac:dyDescent="0.25">
      <c r="A400" s="216"/>
      <c r="B400" s="72"/>
      <c r="C400" s="217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6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6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6"/>
      <c r="B403" s="72"/>
      <c r="C403" s="257" t="s">
        <v>6</v>
      </c>
      <c r="D403" s="268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6"/>
      <c r="B404" s="72"/>
      <c r="C404" s="246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6"/>
      <c r="B405" s="72"/>
      <c r="C405" s="246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6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6"/>
      <c r="B407" s="72"/>
      <c r="C407" s="290" t="s">
        <v>122</v>
      </c>
      <c r="D407" s="290"/>
      <c r="E407" s="290"/>
      <c r="F407" s="290"/>
      <c r="G407" s="290"/>
      <c r="H407" s="290"/>
      <c r="I407" s="150"/>
      <c r="J407" s="130"/>
    </row>
    <row r="408" spans="1:10" ht="14.1" customHeight="1" x14ac:dyDescent="0.25">
      <c r="A408" s="216"/>
      <c r="B408" s="72"/>
      <c r="C408" s="290"/>
      <c r="D408" s="290"/>
      <c r="E408" s="290"/>
      <c r="F408" s="290"/>
      <c r="G408" s="290"/>
      <c r="H408" s="290"/>
      <c r="I408" s="150"/>
      <c r="J408" s="130"/>
    </row>
    <row r="409" spans="1:10" ht="14.1" customHeight="1" x14ac:dyDescent="0.25">
      <c r="A409" s="216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6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6"/>
      <c r="B411" s="229"/>
      <c r="C411" s="232" t="s">
        <v>15</v>
      </c>
      <c r="D411" s="232"/>
      <c r="E411" s="232"/>
      <c r="F411" s="232"/>
      <c r="G411" s="232"/>
      <c r="H411" s="232"/>
      <c r="I411" s="232"/>
      <c r="J411" s="236"/>
    </row>
    <row r="412" spans="1:10" ht="78" customHeight="1" x14ac:dyDescent="0.25">
      <c r="A412" s="216"/>
      <c r="B412" s="198"/>
      <c r="C412" s="20" t="s">
        <v>111</v>
      </c>
      <c r="D412" s="22" t="s">
        <v>112</v>
      </c>
      <c r="E412" s="20" t="s">
        <v>144</v>
      </c>
      <c r="F412" s="20" t="s">
        <v>145</v>
      </c>
      <c r="G412" s="25" t="s">
        <v>146</v>
      </c>
      <c r="H412" s="20" t="s">
        <v>147</v>
      </c>
      <c r="I412" s="222"/>
      <c r="J412" s="13"/>
    </row>
    <row r="413" spans="1:10" ht="14.1" customHeight="1" x14ac:dyDescent="0.25">
      <c r="A413" s="216"/>
      <c r="B413" s="72"/>
      <c r="C413" s="263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6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6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6"/>
      <c r="B416" s="72"/>
      <c r="C416" s="263" t="s">
        <v>114</v>
      </c>
      <c r="D416" s="10">
        <v>1060</v>
      </c>
      <c r="E416" s="26">
        <f>SUM(E417:E418)</f>
        <v>93.048000000000002</v>
      </c>
      <c r="F416" s="26">
        <f>SUM(F417:F418)</f>
        <v>1022.11648</v>
      </c>
      <c r="G416" s="85">
        <f>D416-F416</f>
        <v>37.883519999999976</v>
      </c>
      <c r="H416" s="26">
        <f>SUM(H417:H418)</f>
        <v>1706.32602</v>
      </c>
      <c r="I416" s="27"/>
      <c r="J416" s="130"/>
    </row>
    <row r="417" spans="1:10" ht="14.1" customHeight="1" x14ac:dyDescent="0.25">
      <c r="A417" s="216"/>
      <c r="B417" s="72"/>
      <c r="C417" s="29" t="s">
        <v>8</v>
      </c>
      <c r="D417" s="42"/>
      <c r="E417" s="30">
        <f>80.345</f>
        <v>80.344999999999999</v>
      </c>
      <c r="F417" s="30">
        <f>815.88608</f>
        <v>815.88607999999999</v>
      </c>
      <c r="G417" s="97"/>
      <c r="H417" s="30">
        <f>1400.7255</f>
        <v>1400.7255</v>
      </c>
      <c r="I417" s="150"/>
      <c r="J417" s="130"/>
    </row>
    <row r="418" spans="1:10" ht="14.1" customHeight="1" x14ac:dyDescent="0.25">
      <c r="A418" s="216"/>
      <c r="B418" s="72"/>
      <c r="C418" s="29" t="s">
        <v>11</v>
      </c>
      <c r="D418" s="219"/>
      <c r="E418" s="30">
        <f>12.703</f>
        <v>12.702999999999999</v>
      </c>
      <c r="F418" s="30">
        <f>206.2304</f>
        <v>206.2304</v>
      </c>
      <c r="G418" s="108"/>
      <c r="H418" s="30">
        <f>305.60052</f>
        <v>305.60052000000002</v>
      </c>
      <c r="I418" s="150"/>
      <c r="J418" s="130"/>
    </row>
    <row r="419" spans="1:10" ht="14.1" customHeight="1" x14ac:dyDescent="0.25">
      <c r="A419" s="216"/>
      <c r="B419" s="72"/>
      <c r="C419" s="263" t="s">
        <v>115</v>
      </c>
      <c r="D419" s="10">
        <v>1235</v>
      </c>
      <c r="E419" s="36">
        <f>SUM(E420:E421)</f>
        <v>0</v>
      </c>
      <c r="F419" s="36">
        <f>SUM(F420:F421)</f>
        <v>0</v>
      </c>
      <c r="G419" s="85">
        <f>D419-F419</f>
        <v>1235</v>
      </c>
      <c r="H419" s="36">
        <f>SUM(H420:H421)</f>
        <v>0</v>
      </c>
      <c r="I419" s="150"/>
      <c r="J419" s="130"/>
    </row>
    <row r="420" spans="1:10" ht="14.1" customHeight="1" x14ac:dyDescent="0.25">
      <c r="A420" s="216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6"/>
      <c r="B421" s="72"/>
      <c r="C421" s="29" t="s">
        <v>11</v>
      </c>
      <c r="D421" s="219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6"/>
      <c r="B422" s="72"/>
      <c r="C422" s="277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6"/>
      <c r="B423" s="72"/>
      <c r="C423" s="283" t="s">
        <v>87</v>
      </c>
      <c r="D423" s="39"/>
      <c r="E423" s="40">
        <f>E413+E416+E419+E422</f>
        <v>93.048000000000002</v>
      </c>
      <c r="F423" s="40">
        <f>F413+F416+F419+F422</f>
        <v>2010.5177100000001</v>
      </c>
      <c r="G423" s="41"/>
      <c r="H423" s="40">
        <f>H413+H416+H419+H422</f>
        <v>3544.6157600000001</v>
      </c>
      <c r="I423" s="27"/>
      <c r="J423" s="130"/>
    </row>
    <row r="424" spans="1:10" ht="42" customHeight="1" x14ac:dyDescent="0.25">
      <c r="A424" s="216"/>
      <c r="B424" s="72"/>
      <c r="C424" s="291" t="s">
        <v>123</v>
      </c>
      <c r="D424" s="291"/>
      <c r="E424" s="291"/>
      <c r="F424" s="291"/>
      <c r="G424" s="291"/>
      <c r="H424" s="291"/>
      <c r="I424" s="291"/>
      <c r="J424" s="292"/>
    </row>
    <row r="425" spans="1:10" ht="14.1" customHeight="1" x14ac:dyDescent="0.25">
      <c r="A425" s="216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3"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7&amp;R19.02.2024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Even Gaulen Gulliksen</cp:lastModifiedBy>
  <cp:lastPrinted>2022-11-14T12:51:47Z</cp:lastPrinted>
  <dcterms:created xsi:type="dcterms:W3CDTF">2022-08-01T13:23:35Z</dcterms:created>
  <dcterms:modified xsi:type="dcterms:W3CDTF">2024-02-19T13:56:27Z</dcterms:modified>
</cp:coreProperties>
</file>