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Script\excel\output\2023\"/>
    </mc:Choice>
  </mc:AlternateContent>
  <xr:revisionPtr revIDLastSave="0" documentId="13_ncr:1_{FE4A3C97-F077-4146-BDA3-8D08103765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D331" i="1"/>
  <c r="H329" i="1"/>
  <c r="F329" i="1"/>
  <c r="E329" i="1"/>
  <c r="H328" i="1"/>
  <c r="H327" i="1" s="1"/>
  <c r="F328" i="1"/>
  <c r="F327" i="1" s="1"/>
  <c r="G327" i="1" s="1"/>
  <c r="E328" i="1"/>
  <c r="E327" i="1" s="1"/>
  <c r="H326" i="1"/>
  <c r="F326" i="1"/>
  <c r="E326" i="1"/>
  <c r="H325" i="1"/>
  <c r="F325" i="1"/>
  <c r="F324" i="1" s="1"/>
  <c r="G324" i="1" s="1"/>
  <c r="E325" i="1"/>
  <c r="E324" i="1" s="1"/>
  <c r="H324" i="1"/>
  <c r="H323" i="1"/>
  <c r="H321" i="1" s="1"/>
  <c r="H331" i="1" s="1"/>
  <c r="F323" i="1"/>
  <c r="E323" i="1"/>
  <c r="E321" i="1" s="1"/>
  <c r="E331" i="1" s="1"/>
  <c r="H322" i="1"/>
  <c r="F322" i="1"/>
  <c r="E322" i="1"/>
  <c r="F321" i="1"/>
  <c r="D299" i="1"/>
  <c r="I298" i="1"/>
  <c r="G298" i="1"/>
  <c r="H298" i="1" s="1"/>
  <c r="F298" i="1"/>
  <c r="I297" i="1"/>
  <c r="G297" i="1"/>
  <c r="H297" i="1" s="1"/>
  <c r="F297" i="1"/>
  <c r="I296" i="1"/>
  <c r="I294" i="1" s="1"/>
  <c r="G296" i="1"/>
  <c r="F296" i="1"/>
  <c r="F294" i="1" s="1"/>
  <c r="I295" i="1"/>
  <c r="G295" i="1"/>
  <c r="F295" i="1"/>
  <c r="G294" i="1"/>
  <c r="H294" i="1" s="1"/>
  <c r="I293" i="1"/>
  <c r="G293" i="1"/>
  <c r="H293" i="1" s="1"/>
  <c r="F293" i="1"/>
  <c r="I292" i="1"/>
  <c r="G292" i="1"/>
  <c r="H292" i="1" s="1"/>
  <c r="F292" i="1"/>
  <c r="I291" i="1"/>
  <c r="I288" i="1" s="1"/>
  <c r="G291" i="1"/>
  <c r="H291" i="1" s="1"/>
  <c r="F291" i="1"/>
  <c r="F288" i="1" s="1"/>
  <c r="I290" i="1"/>
  <c r="G290" i="1"/>
  <c r="H290" i="1" s="1"/>
  <c r="F290" i="1"/>
  <c r="I289" i="1"/>
  <c r="G289" i="1"/>
  <c r="H289" i="1" s="1"/>
  <c r="F289" i="1"/>
  <c r="E288" i="1"/>
  <c r="E299" i="1" s="1"/>
  <c r="D288" i="1"/>
  <c r="H280" i="1"/>
  <c r="F280" i="1"/>
  <c r="D262" i="1"/>
  <c r="H261" i="1"/>
  <c r="F261" i="1"/>
  <c r="E261" i="1"/>
  <c r="H260" i="1"/>
  <c r="F260" i="1"/>
  <c r="G260" i="1" s="1"/>
  <c r="E260" i="1"/>
  <c r="H259" i="1"/>
  <c r="F259" i="1"/>
  <c r="G259" i="1" s="1"/>
  <c r="E259" i="1"/>
  <c r="H258" i="1"/>
  <c r="H262" i="1" s="1"/>
  <c r="F258" i="1"/>
  <c r="G258" i="1" s="1"/>
  <c r="E258" i="1"/>
  <c r="E262" i="1" s="1"/>
  <c r="D251" i="1"/>
  <c r="D207" i="1"/>
  <c r="G206" i="1"/>
  <c r="H205" i="1"/>
  <c r="G205" i="1"/>
  <c r="F205" i="1"/>
  <c r="E205" i="1"/>
  <c r="H204" i="1"/>
  <c r="H207" i="1" s="1"/>
  <c r="F204" i="1"/>
  <c r="F207" i="1" s="1"/>
  <c r="E204" i="1"/>
  <c r="E207" i="1" s="1"/>
  <c r="D184" i="1"/>
  <c r="H182" i="1"/>
  <c r="F182" i="1"/>
  <c r="G182" i="1" s="1"/>
  <c r="E182" i="1"/>
  <c r="H181" i="1"/>
  <c r="F181" i="1"/>
  <c r="E181" i="1"/>
  <c r="H180" i="1"/>
  <c r="F180" i="1"/>
  <c r="E180" i="1"/>
  <c r="H179" i="1"/>
  <c r="H178" i="1" s="1"/>
  <c r="F179" i="1"/>
  <c r="F178" i="1" s="1"/>
  <c r="G178" i="1" s="1"/>
  <c r="E179" i="1"/>
  <c r="E178" i="1" s="1"/>
  <c r="H177" i="1"/>
  <c r="G177" i="1"/>
  <c r="F177" i="1"/>
  <c r="E177" i="1"/>
  <c r="H176" i="1"/>
  <c r="F176" i="1"/>
  <c r="E176" i="1"/>
  <c r="H175" i="1"/>
  <c r="F175" i="1"/>
  <c r="E175" i="1"/>
  <c r="E184" i="1" s="1"/>
  <c r="D150" i="1"/>
  <c r="H147" i="1"/>
  <c r="H146" i="1"/>
  <c r="H145" i="1"/>
  <c r="F145" i="1"/>
  <c r="I144" i="1"/>
  <c r="G144" i="1"/>
  <c r="H144" i="1" s="1"/>
  <c r="F144" i="1"/>
  <c r="I143" i="1"/>
  <c r="G143" i="1"/>
  <c r="H143" i="1" s="1"/>
  <c r="F143" i="1"/>
  <c r="I142" i="1"/>
  <c r="G142" i="1"/>
  <c r="H142" i="1" s="1"/>
  <c r="F142" i="1"/>
  <c r="I141" i="1"/>
  <c r="G141" i="1"/>
  <c r="H141" i="1" s="1"/>
  <c r="F141" i="1"/>
  <c r="I140" i="1"/>
  <c r="G140" i="1"/>
  <c r="G139" i="1" s="1"/>
  <c r="F140" i="1"/>
  <c r="F139" i="1" s="1"/>
  <c r="I139" i="1"/>
  <c r="E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I134" i="1"/>
  <c r="I133" i="1" s="1"/>
  <c r="G134" i="1"/>
  <c r="F134" i="1"/>
  <c r="E134" i="1"/>
  <c r="E133" i="1"/>
  <c r="I132" i="1"/>
  <c r="F132" i="1"/>
  <c r="H131" i="1"/>
  <c r="I130" i="1"/>
  <c r="G130" i="1"/>
  <c r="H130" i="1" s="1"/>
  <c r="F130" i="1"/>
  <c r="I129" i="1"/>
  <c r="I128" i="1" s="1"/>
  <c r="I150" i="1" s="1"/>
  <c r="G129" i="1"/>
  <c r="H129" i="1" s="1"/>
  <c r="H128" i="1" s="1"/>
  <c r="F129" i="1"/>
  <c r="G128" i="1"/>
  <c r="F128" i="1"/>
  <c r="E128" i="1"/>
  <c r="E150" i="1" s="1"/>
  <c r="C126" i="1"/>
  <c r="H106" i="1"/>
  <c r="H105" i="1"/>
  <c r="H104" i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F96" i="1" s="1"/>
  <c r="F95" i="1" s="1"/>
  <c r="I97" i="1"/>
  <c r="I96" i="1" s="1"/>
  <c r="I95" i="1" s="1"/>
  <c r="G97" i="1"/>
  <c r="H97" i="1" s="1"/>
  <c r="F97" i="1"/>
  <c r="E96" i="1"/>
  <c r="E95" i="1" s="1"/>
  <c r="E107" i="1" s="1"/>
  <c r="D96" i="1"/>
  <c r="D95" i="1"/>
  <c r="D107" i="1" s="1"/>
  <c r="I94" i="1"/>
  <c r="G94" i="1"/>
  <c r="H94" i="1" s="1"/>
  <c r="F94" i="1"/>
  <c r="I93" i="1"/>
  <c r="G93" i="1"/>
  <c r="H93" i="1" s="1"/>
  <c r="F93" i="1"/>
  <c r="F92" i="1" s="1"/>
  <c r="F107" i="1" s="1"/>
  <c r="I92" i="1"/>
  <c r="I107" i="1" s="1"/>
  <c r="G92" i="1"/>
  <c r="E92" i="1"/>
  <c r="C89" i="1"/>
  <c r="H85" i="1"/>
  <c r="F85" i="1"/>
  <c r="D85" i="1"/>
  <c r="G61" i="1"/>
  <c r="G60" i="1"/>
  <c r="H55" i="1"/>
  <c r="F55" i="1"/>
  <c r="G55" i="1" s="1"/>
  <c r="E55" i="1"/>
  <c r="F32" i="1" s="1"/>
  <c r="E44" i="1"/>
  <c r="D44" i="1"/>
  <c r="H43" i="1"/>
  <c r="H42" i="1"/>
  <c r="H41" i="1"/>
  <c r="H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I33" i="1"/>
  <c r="G33" i="1"/>
  <c r="H33" i="1" s="1"/>
  <c r="F33" i="1"/>
  <c r="I32" i="1"/>
  <c r="G32" i="1"/>
  <c r="H32" i="1" s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5" i="1"/>
  <c r="G25" i="1"/>
  <c r="H25" i="1" s="1"/>
  <c r="H23" i="1" s="1"/>
  <c r="F25" i="1"/>
  <c r="I24" i="1"/>
  <c r="I23" i="1" s="1"/>
  <c r="G24" i="1"/>
  <c r="H24" i="1" s="1"/>
  <c r="F24" i="1"/>
  <c r="F23" i="1"/>
  <c r="H16" i="1"/>
  <c r="F16" i="1"/>
  <c r="D16" i="1"/>
  <c r="F34" i="1" l="1"/>
  <c r="I27" i="1"/>
  <c r="I34" i="1"/>
  <c r="G34" i="1"/>
  <c r="H34" i="1" s="1"/>
  <c r="G133" i="1"/>
  <c r="H288" i="1"/>
  <c r="H299" i="1" s="1"/>
  <c r="H96" i="1"/>
  <c r="H95" i="1" s="1"/>
  <c r="G207" i="1"/>
  <c r="F331" i="1"/>
  <c r="H27" i="1"/>
  <c r="H26" i="1" s="1"/>
  <c r="H44" i="1" s="1"/>
  <c r="H92" i="1"/>
  <c r="H107" i="1" s="1"/>
  <c r="F150" i="1"/>
  <c r="F184" i="1"/>
  <c r="G184" i="1" s="1"/>
  <c r="H134" i="1"/>
  <c r="F133" i="1"/>
  <c r="F299" i="1"/>
  <c r="F27" i="1"/>
  <c r="F26" i="1" s="1"/>
  <c r="F44" i="1" s="1"/>
  <c r="G107" i="1"/>
  <c r="G150" i="1"/>
  <c r="H184" i="1"/>
  <c r="I299" i="1"/>
  <c r="G96" i="1"/>
  <c r="G95" i="1" s="1"/>
  <c r="G204" i="1"/>
  <c r="F262" i="1"/>
  <c r="G262" i="1" s="1"/>
  <c r="G288" i="1"/>
  <c r="G299" i="1" s="1"/>
  <c r="H140" i="1"/>
  <c r="H139" i="1" s="1"/>
  <c r="G175" i="1"/>
  <c r="G321" i="1"/>
  <c r="G331" i="1" s="1"/>
  <c r="G23" i="1"/>
  <c r="G27" i="1"/>
  <c r="G26" i="1" s="1"/>
  <c r="I26" i="1" l="1"/>
  <c r="I44" i="1" s="1"/>
  <c r="G44" i="1"/>
  <c r="H133" i="1"/>
  <c r="H150" i="1" s="1"/>
</calcChain>
</file>

<file path=xl/sharedStrings.xml><?xml version="1.0" encoding="utf-8"?>
<sst xmlns="http://schemas.openxmlformats.org/spreadsheetml/2006/main" count="330" uniqueCount="148">
  <si>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</si>
  <si>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</si>
  <si>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</si>
  <si>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</si>
  <si>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</si>
  <si>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</si>
  <si>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</si>
  <si>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</si>
  <si>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</si>
  <si>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</si>
  <si>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</si>
  <si>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</si>
  <si>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</si>
  <si>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</si>
  <si>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</si>
  <si>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</si>
  <si>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</si>
  <si>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</si>
  <si>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</si>
  <si>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</si>
  <si>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</si>
  <si>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</si>
  <si>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</si>
  <si>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</si>
  <si>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</si>
  <si>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</si>
  <si>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</si>
  <si>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</si>
  <si>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</si>
  <si>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</si>
  <si>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</si>
  <si>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</si>
  <si>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</si>
  <si>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</si>
  <si>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</si>
  <si>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</si>
  <si>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</si>
  <si>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</si>
  <si>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</si>
  <si>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</si>
  <si>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</si>
  <si>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</si>
  <si>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</si>
  <si>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</si>
  <si>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</si>
  <si>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</si>
  <si>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</si>
  <si>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</si>
  <si>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</si>
  <si>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</si>
  <si>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</si>
  <si>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</si>
  <si>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</si>
  <si>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</si>
  <si>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</si>
  <si>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</si>
  <si>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</si>
  <si>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</si>
  <si>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</si>
  <si>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</si>
  <si>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</si>
  <si>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</si>
  <si>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</si>
  <si>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</si>
  <si>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</si>
  <si>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</si>
  <si>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</si>
  <si>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</si>
  <si>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</si>
  <si>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</si>
  <si>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</si>
  <si>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</si>
  <si>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</si>
  <si>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</si>
  <si>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</si>
  <si>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</si>
  <si>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</si>
  <si>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</si>
  <si>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</si>
  <si>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</si>
  <si>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</si>
  <si>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</si>
  <si>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</si>
  <si>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</si>
  <si>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</si>
  <si>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</si>
  <si>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</si>
  <si>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</si>
  <si>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</si>
  <si>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</si>
  <si>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</si>
  <si>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</si>
  <si>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</si>
  <si>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</si>
  <si>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</si>
  <si>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</si>
  <si>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</si>
  <si>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</si>
  <si>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</si>
  <si>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</si>
  <si>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</si>
  <si>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</si>
  <si>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</si>
  <si>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</si>
  <si>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</si>
  <si>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</si>
  <si>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</si>
  <si>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</si>
  <si>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</si>
  <si>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</si>
  <si>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</si>
  <si>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</si>
  <si>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</si>
  <si>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</si>
  <si>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</si>
  <si>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</si>
  <si>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</si>
  <si>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</si>
  <si>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</si>
  <si>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</si>
  <si>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</si>
  <si>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</si>
  <si>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</si>
  <si>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</si>
  <si>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</si>
  <si>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</si>
  <si>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</si>
  <si>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</si>
  <si>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</si>
  <si>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</si>
  <si>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</si>
  <si>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</si>
  <si>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</si>
  <si>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</si>
  <si>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</si>
  <si>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</si>
  <si>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</si>
  <si>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</si>
  <si>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</si>
  <si>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</si>
  <si>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FANGST UKE 18</t>
  </si>
  <si>
    <t>FANGST T.O.M UKE 18</t>
  </si>
  <si>
    <t>RESTKVOTER UKE 18</t>
  </si>
  <si>
    <t>FANGST T.O.M UKE 18 2022</t>
  </si>
  <si>
    <r>
      <t>3</t>
    </r>
    <r>
      <rPr>
        <sz val="9"/>
        <color indexed="8"/>
        <rFont val="Calibri"/>
        <family val="2"/>
      </rPr>
      <t xml:space="preserve"> Det er fisket 1 306 tonn sei med konvensjonelle redskap som belastes notkvoten.</t>
    </r>
  </si>
  <si>
    <r>
      <t xml:space="preserve">3 </t>
    </r>
    <r>
      <rPr>
        <sz val="9"/>
        <color indexed="8"/>
        <rFont val="Calibri"/>
        <family val="2"/>
      </rPr>
      <t>Registrert rekreasjonsfiske utgjør 447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</si>
  <si>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40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</si>
  <si>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202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</si>
</sst>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view="pageLayout" zoomScale="85" zoomScaleNormal="85" zoomScaleSheetLayoutView="100" zoomScalePageLayoutView="85" workbookViewId="0"/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7" t="s">
        <v>137</v>
      </c>
      <c r="C2" s="298"/>
      <c r="D2" s="298"/>
      <c r="E2" s="298"/>
      <c r="F2" s="298"/>
      <c r="G2" s="298"/>
      <c r="H2" s="298"/>
      <c r="I2" s="298"/>
      <c r="J2" s="299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0"/>
      <c r="C9" s="301"/>
      <c r="D9" s="301"/>
      <c r="E9" s="301"/>
      <c r="F9" s="301"/>
      <c r="G9" s="301"/>
      <c r="H9" s="301"/>
      <c r="I9" s="301"/>
      <c r="J9" s="302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138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140</v>
      </c>
      <c r="G22" s="68" t="s">
        <v>141</v>
      </c>
      <c r="H22" s="68" t="s">
        <v>142</v>
      </c>
      <c r="I22" s="68" t="s">
        <v>143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919.90649999999994</v>
      </c>
      <c r="G23" s="28">
        <f t="shared" si="0"/>
        <v>38604.868139999999</v>
      </c>
      <c r="H23" s="11">
        <f t="shared" si="0"/>
        <v>48222.131860000001</v>
      </c>
      <c r="I23" s="11">
        <f t="shared" si="0"/>
        <v>48996.638299999999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918.9525</f>
        <v>918.95249999999999</v>
      </c>
      <c r="G24" s="23">
        <f>38413.22565</f>
        <v>38413.22565</v>
      </c>
      <c r="H24" s="23">
        <f>E24-G24</f>
        <v>47631.77435</v>
      </c>
      <c r="I24" s="23">
        <f>48719.87283</f>
        <v>48719.87283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0.954</f>
        <v>0.95399999999999996</v>
      </c>
      <c r="G25" s="23">
        <f>191.64249</f>
        <v>191.64249000000001</v>
      </c>
      <c r="H25" s="23">
        <f>E25-G25</f>
        <v>590.35751000000005</v>
      </c>
      <c r="I25" s="23">
        <f>276.76547</f>
        <v>276.76546999999999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2798.8025200000002</v>
      </c>
      <c r="G26" s="11">
        <f t="shared" si="1"/>
        <v>152105.19565000001</v>
      </c>
      <c r="H26" s="11">
        <f t="shared" si="1"/>
        <v>45464.804349999999</v>
      </c>
      <c r="I26" s="11">
        <f t="shared" si="1"/>
        <v>181400.33791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2165.4976799999999</v>
      </c>
      <c r="G27" s="134">
        <f t="shared" ref="G27:I27" si="2">G28+G29+G30+G31+G32</f>
        <v>122787.59531</v>
      </c>
      <c r="H27" s="134">
        <f t="shared" si="2"/>
        <v>29863.404689999999</v>
      </c>
      <c r="I27" s="134">
        <f t="shared" si="2"/>
        <v>152003.72519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562.82334</f>
        <v>562.82334000000003</v>
      </c>
      <c r="G28" s="129">
        <f>34259.08998 - F57</f>
        <v>34259.089979999997</v>
      </c>
      <c r="H28" s="129">
        <f t="shared" ref="H28:H40" si="3">E28-G28</f>
        <v>5289.910020000003</v>
      </c>
      <c r="I28" s="129">
        <f>39125.88998 - H57</f>
        <v>39125.88998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565.87556</f>
        <v>565.87555999999995</v>
      </c>
      <c r="G29" s="129">
        <f>35026.75398 - F58</f>
        <v>35026.753980000001</v>
      </c>
      <c r="H29" s="129">
        <f t="shared" si="3"/>
        <v>5737.2460199999987</v>
      </c>
      <c r="I29" s="129">
        <f>42144.77488 - H58</f>
        <v>42144.774879999997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602.15957</f>
        <v>602.15957000000003</v>
      </c>
      <c r="G30" s="129">
        <f>31684.95936 - F59</f>
        <v>31684.959360000001</v>
      </c>
      <c r="H30" s="129">
        <f t="shared" si="3"/>
        <v>5582.0406399999993</v>
      </c>
      <c r="I30" s="129">
        <f>40588.56435 - H59</f>
        <v>40588.564350000001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434.63921</f>
        <v>434.63920999999999</v>
      </c>
      <c r="G31" s="129">
        <f>21816.79199 - F60</f>
        <v>21816.791990000002</v>
      </c>
      <c r="H31" s="129">
        <f t="shared" si="3"/>
        <v>3590.2080099999985</v>
      </c>
      <c r="I31" s="129">
        <f>30144.49598 - H60</f>
        <v>30144.49598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0</v>
      </c>
      <c r="G32" s="129">
        <f>F55</f>
        <v>0</v>
      </c>
      <c r="H32" s="129">
        <f t="shared" si="3"/>
        <v>9664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2.59283</f>
        <v>2.5928300000000002</v>
      </c>
      <c r="G33" s="134">
        <f>11267.81844</f>
        <v>11267.818439999999</v>
      </c>
      <c r="H33" s="134">
        <f t="shared" si="3"/>
        <v>12318.181560000001</v>
      </c>
      <c r="I33" s="134">
        <f>13192.38715</f>
        <v>13192.38715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630.71200999999996</v>
      </c>
      <c r="G34" s="134">
        <f>G35+G36</f>
        <v>18049.781900000002</v>
      </c>
      <c r="H34" s="134">
        <f t="shared" si="3"/>
        <v>3283.2180999999982</v>
      </c>
      <c r="I34" s="134">
        <f>I35+I36</f>
        <v>16204.225569999999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630.71201</f>
        <v>630.71200999999996</v>
      </c>
      <c r="G35" s="134">
        <f>20999.7819 - F61 - F62</f>
        <v>18049.781900000002</v>
      </c>
      <c r="H35" s="129">
        <f t="shared" si="3"/>
        <v>2083.2180999999982</v>
      </c>
      <c r="I35" s="129">
        <f>17306.22557 - H61 - H62</f>
        <v>16204.225569999999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27.585</f>
        <v>27.585000000000001</v>
      </c>
      <c r="G37" s="141">
        <f>115.3482</f>
        <v>115.34820000000001</v>
      </c>
      <c r="H37" s="141">
        <f t="shared" si="3"/>
        <v>2884.6518000000001</v>
      </c>
      <c r="I37" s="141">
        <f>306.31005</f>
        <v>306.31004999999999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4.25334</f>
        <v>4.2533399999999997</v>
      </c>
      <c r="G38" s="100">
        <f>455.53437</f>
        <v>455.53437000000002</v>
      </c>
      <c r="H38" s="100">
        <f t="shared" si="3"/>
        <v>395.46562999999998</v>
      </c>
      <c r="I38" s="100">
        <f>415.73265</f>
        <v>415.73264999999998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238</v>
      </c>
      <c r="G39" s="100">
        <f>F61</f>
        <v>2950</v>
      </c>
      <c r="H39" s="100">
        <f t="shared" si="3"/>
        <v>98</v>
      </c>
      <c r="I39" s="100">
        <f>H61</f>
        <v>1102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10.84078</f>
        <v>10.840780000000001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3999.3911400000006</v>
      </c>
      <c r="G44" s="78">
        <f t="shared" si="4"/>
        <v>201310.50736000005</v>
      </c>
      <c r="H44" s="78">
        <f t="shared" si="4"/>
        <v>97385.492639999982</v>
      </c>
      <c r="I44" s="78">
        <f t="shared" si="4"/>
        <v>239341.95733999996</v>
      </c>
      <c r="J44" s="242"/>
    </row>
    <row r="45" spans="1:13" ht="14.1" customHeight="1" x14ac:dyDescent="0.25">
      <c r="A45" s="101"/>
      <c r="B45" s="24"/>
      <c r="C45" s="80" t="s">
        <v>129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145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128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0" t="s">
        <v>44</v>
      </c>
      <c r="D52" s="290"/>
      <c r="E52" s="290"/>
      <c r="F52" s="290"/>
      <c r="G52" s="290"/>
      <c r="H52" s="290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140</v>
      </c>
      <c r="F54" s="68" t="s">
        <v>141</v>
      </c>
      <c r="G54" s="68" t="s">
        <v>142</v>
      </c>
      <c r="H54" s="68" t="s">
        <v>143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1">
        <v>9840</v>
      </c>
      <c r="E55" s="11">
        <f>E59+E58+E57+E56</f>
        <v>0</v>
      </c>
      <c r="F55" s="11">
        <f>F59+F58+F57+F56</f>
        <v>0</v>
      </c>
      <c r="G55" s="291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292"/>
      <c r="E56" s="129"/>
      <c r="F56" s="129"/>
      <c r="G56" s="292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292"/>
      <c r="E57" s="129"/>
      <c r="F57" s="129"/>
      <c r="G57" s="292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292"/>
      <c r="E58" s="129"/>
      <c r="F58" s="129"/>
      <c r="G58" s="292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293"/>
      <c r="E59" s="194"/>
      <c r="F59" s="194"/>
      <c r="G59" s="293"/>
      <c r="H59" s="194"/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>
        <v>0</v>
      </c>
      <c r="F60" s="97">
        <v>0</v>
      </c>
      <c r="G60" s="97">
        <f>D60-F60</f>
        <v>1200</v>
      </c>
      <c r="H60" s="97">
        <v>0</v>
      </c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238</v>
      </c>
      <c r="F61" s="141">
        <v>2950</v>
      </c>
      <c r="G61" s="141">
        <f>D61-F61</f>
        <v>50</v>
      </c>
      <c r="H61" s="141">
        <v>1102</v>
      </c>
      <c r="I61" s="256"/>
      <c r="J61" s="242"/>
    </row>
    <row r="62" spans="1:10" ht="14.1" customHeight="1" x14ac:dyDescent="0.25">
      <c r="A62" s="101"/>
      <c r="B62" s="24"/>
      <c r="C62" s="80" t="s">
        <v>125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4" t="s">
        <v>1</v>
      </c>
      <c r="D81" s="295"/>
      <c r="E81" s="294" t="s">
        <v>2</v>
      </c>
      <c r="F81" s="296"/>
      <c r="G81" s="294" t="s">
        <v>3</v>
      </c>
      <c r="H81" s="295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139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140</v>
      </c>
      <c r="G91" s="15" t="s">
        <v>141</v>
      </c>
      <c r="H91" s="15" t="s">
        <v>142</v>
      </c>
      <c r="I91" s="15" t="s">
        <v>143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400.48679999999996</v>
      </c>
      <c r="G92" s="11">
        <f t="shared" si="5"/>
        <v>36814.456399999995</v>
      </c>
      <c r="H92" s="11">
        <f t="shared" si="5"/>
        <v>-2015.4563999999973</v>
      </c>
      <c r="I92" s="11">
        <f t="shared" si="5"/>
        <v>33374.896889999996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399.6468</f>
        <v>399.64679999999998</v>
      </c>
      <c r="G93" s="23">
        <f>36331.43386</f>
        <v>36331.433859999997</v>
      </c>
      <c r="H93" s="23">
        <f>E93-G93</f>
        <v>-2344.4338599999974</v>
      </c>
      <c r="I93" s="23">
        <f>32740.20682</f>
        <v>32740.206819999999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0.84</f>
        <v>0.84</v>
      </c>
      <c r="G94" s="52">
        <f>483.02254</f>
        <v>483.02253999999999</v>
      </c>
      <c r="H94" s="52">
        <f>E94-G94</f>
        <v>328.97746000000001</v>
      </c>
      <c r="I94" s="52">
        <f>634.69007</f>
        <v>634.69006999999999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565.33292000000006</v>
      </c>
      <c r="G95" s="11">
        <f t="shared" si="6"/>
        <v>14476.007979999998</v>
      </c>
      <c r="H95" s="11">
        <f t="shared" si="6"/>
        <v>45023.992019999998</v>
      </c>
      <c r="I95" s="11">
        <f t="shared" si="6"/>
        <v>17427.233969999997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479.86097000000001</v>
      </c>
      <c r="G96" s="134">
        <f t="shared" si="7"/>
        <v>9554.8907799999997</v>
      </c>
      <c r="H96" s="134">
        <f t="shared" si="7"/>
        <v>34936.109219999998</v>
      </c>
      <c r="I96" s="134">
        <f t="shared" si="7"/>
        <v>12551.942059999999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43.524</f>
        <v>43.524000000000001</v>
      </c>
      <c r="G97" s="129">
        <f>1944.0752</f>
        <v>1944.0752</v>
      </c>
      <c r="H97" s="129">
        <f t="shared" ref="H97:H104" si="8">E97-G97</f>
        <v>9939.6248000000014</v>
      </c>
      <c r="I97" s="129">
        <f>2061.62761</f>
        <v>2061.62761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93.80423</f>
        <v>93.804230000000004</v>
      </c>
      <c r="G98" s="129">
        <f>2861.00609</f>
        <v>2861.0060899999999</v>
      </c>
      <c r="H98" s="129">
        <f t="shared" si="8"/>
        <v>9804.0939099999996</v>
      </c>
      <c r="I98" s="129">
        <f>4039.01295</f>
        <v>4039.0129499999998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175.23796</f>
        <v>175.23795999999999</v>
      </c>
      <c r="G99" s="129">
        <f>2340.39955</f>
        <v>2340.3995500000001</v>
      </c>
      <c r="H99" s="129">
        <f t="shared" si="8"/>
        <v>9625.2004500000003</v>
      </c>
      <c r="I99" s="129">
        <f>4030.69593</f>
        <v>4030.6959299999999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167.29478</f>
        <v>167.29478</v>
      </c>
      <c r="G100" s="129">
        <f>2409.40994</f>
        <v>2409.40994</v>
      </c>
      <c r="H100" s="129">
        <f t="shared" si="8"/>
        <v>5567.1900600000008</v>
      </c>
      <c r="I100" s="129">
        <f>2420.60557</f>
        <v>2420.6055700000002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68.12046</f>
        <v>68.120459999999994</v>
      </c>
      <c r="G101" s="134">
        <f>3822.69947</f>
        <v>3822.69947</v>
      </c>
      <c r="H101" s="134">
        <f t="shared" si="8"/>
        <v>6568.3005300000004</v>
      </c>
      <c r="I101" s="134">
        <f>4053.97518</f>
        <v>4053.9751799999999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17.35149</f>
        <v>17.351489999999998</v>
      </c>
      <c r="G102" s="77">
        <f>1098.41773</f>
        <v>1098.4177299999999</v>
      </c>
      <c r="H102" s="77">
        <f t="shared" si="8"/>
        <v>3519.5822699999999</v>
      </c>
      <c r="I102" s="77">
        <f>821.31673</f>
        <v>821.31673000000001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0.01961</f>
        <v>1.9609999999999999E-2</v>
      </c>
      <c r="G103" s="100">
        <f>11.16397</f>
        <v>11.163970000000001</v>
      </c>
      <c r="H103" s="100">
        <f t="shared" si="8"/>
        <v>308.83602999999999</v>
      </c>
      <c r="I103" s="100">
        <f>21.8752</f>
        <v>21.8752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0.37714</f>
        <v>0.37713999999999998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966.21646999999996</v>
      </c>
      <c r="G107" s="78">
        <f t="shared" si="9"/>
        <v>51610.396149999979</v>
      </c>
      <c r="H107" s="78">
        <f t="shared" si="9"/>
        <v>43358.603850000014</v>
      </c>
      <c r="I107" s="78">
        <f t="shared" si="9"/>
        <v>51167.740839999991</v>
      </c>
      <c r="J107" s="242"/>
    </row>
    <row r="108" spans="1:10" ht="13.5" customHeight="1" x14ac:dyDescent="0.25">
      <c r="A108" s="1"/>
      <c r="B108" s="252"/>
      <c r="C108" s="80" t="s">
        <v>127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146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126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2150</v>
      </c>
      <c r="E121" s="117" t="s">
        <v>60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130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140</v>
      </c>
      <c r="G127" s="15" t="s">
        <v>141</v>
      </c>
      <c r="H127" s="15" t="s">
        <v>142</v>
      </c>
      <c r="I127" s="15" t="s">
        <v>143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77128</v>
      </c>
      <c r="E128" s="28">
        <f t="shared" ref="E128:I128" si="10">E129+E130+E131</f>
        <v>70541</v>
      </c>
      <c r="F128" s="11">
        <f t="shared" si="10"/>
        <v>341.07749999999999</v>
      </c>
      <c r="G128" s="11">
        <f t="shared" si="10"/>
        <v>30545.118319999998</v>
      </c>
      <c r="H128" s="11">
        <f t="shared" si="10"/>
        <v>39995.881680000006</v>
      </c>
      <c r="I128" s="11">
        <f t="shared" si="10"/>
        <v>31635.844820000002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56092</v>
      </c>
      <c r="F129" s="23">
        <f>123.72615</f>
        <v>123.72615</v>
      </c>
      <c r="G129" s="23">
        <f>26165.38254</f>
        <v>26165.382539999999</v>
      </c>
      <c r="H129" s="23">
        <f>E129-G129</f>
        <v>29926.617460000001</v>
      </c>
      <c r="I129" s="23">
        <f>26108.79546</f>
        <v>26108.795460000001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13949</v>
      </c>
      <c r="F130" s="23">
        <f>217.35135</f>
        <v>217.35135</v>
      </c>
      <c r="G130" s="23">
        <f>4379.73578</f>
        <v>4379.73578</v>
      </c>
      <c r="H130" s="23">
        <f>E130-G130</f>
        <v>9569.2642200000009</v>
      </c>
      <c r="I130" s="23">
        <f>5527.04936</f>
        <v>5527.04936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52113</v>
      </c>
      <c r="E132" s="93">
        <v>49172</v>
      </c>
      <c r="F132" s="97">
        <f>694.8898</f>
        <v>694.88980000000004</v>
      </c>
      <c r="G132" s="97">
        <f>2932.17533+1305.505105</f>
        <v>4237.6804350000002</v>
      </c>
      <c r="H132" s="97">
        <f>E132-G132</f>
        <v>44934.319564999998</v>
      </c>
      <c r="I132" s="97">
        <f>1589.82256</f>
        <v>1589.8225600000001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80721</v>
      </c>
      <c r="E133" s="145">
        <f>E134+E139+E142</f>
        <v>80940</v>
      </c>
      <c r="F133" s="96">
        <f>F134+F139+F142</f>
        <v>646.55051999999989</v>
      </c>
      <c r="G133" s="96">
        <f t="shared" ref="G133" si="11">G134+G139+G142</f>
        <v>40917.088024999997</v>
      </c>
      <c r="H133" s="96">
        <f>H134+H139+H142</f>
        <v>40022.911974999995</v>
      </c>
      <c r="I133" s="96">
        <f>I134+I139+I142</f>
        <v>36752.521220000002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60918</v>
      </c>
      <c r="E134" s="125">
        <f>E135+E136+E137+E138</f>
        <v>59504</v>
      </c>
      <c r="F134" s="127">
        <f>F135+F136+F137+F138</f>
        <v>505.33719999999994</v>
      </c>
      <c r="G134" s="127">
        <f>G135+G136+G138+G137</f>
        <v>32511.483144999998</v>
      </c>
      <c r="H134" s="127">
        <f>H135+H136+H137+H138</f>
        <v>26992.516854999998</v>
      </c>
      <c r="I134" s="127">
        <f>I135+I136+I137+I138</f>
        <v>29223.960379999997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17504</v>
      </c>
      <c r="F135" s="129">
        <f>120.3053</f>
        <v>120.3053</v>
      </c>
      <c r="G135" s="129">
        <v>5250.8594400000002</v>
      </c>
      <c r="H135" s="129">
        <f>E135-G135</f>
        <v>12253.14056</v>
      </c>
      <c r="I135" s="129">
        <f>4067.72229</f>
        <v>4067.7222900000002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15084</v>
      </c>
      <c r="F136" s="129">
        <f>73.68305</f>
        <v>73.683049999999994</v>
      </c>
      <c r="G136" s="129">
        <v>9602.6601499999997</v>
      </c>
      <c r="H136" s="129">
        <f>E136-G136</f>
        <v>5481.3398500000003</v>
      </c>
      <c r="I136" s="129">
        <f>7305.01139</f>
        <v>7305.0113899999997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15023</v>
      </c>
      <c r="F137" s="129">
        <f>150.69511</f>
        <v>150.69511</v>
      </c>
      <c r="G137" s="129">
        <v>8646.7229400000015</v>
      </c>
      <c r="H137" s="129">
        <f>E137-G137</f>
        <v>6376.2770599999985</v>
      </c>
      <c r="I137" s="129">
        <f>9185.18239</f>
        <v>9185.1823899999999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11893</v>
      </c>
      <c r="F138" s="129">
        <f>160.65374</f>
        <v>160.65374</v>
      </c>
      <c r="G138" s="129">
        <v>9011.2406149999988</v>
      </c>
      <c r="H138" s="129">
        <f>E138-G138</f>
        <v>2881.7593850000012</v>
      </c>
      <c r="I138" s="129">
        <f>8666.04431</f>
        <v>8666.0443099999993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9432</v>
      </c>
      <c r="F139" s="134">
        <f>SUM(F140:F141)</f>
        <v>14.099399999999999</v>
      </c>
      <c r="G139" s="134">
        <f>SUM(G140:G141)</f>
        <v>5688.2933499999999</v>
      </c>
      <c r="H139" s="134">
        <f>H140+H141</f>
        <v>3743.7066500000001</v>
      </c>
      <c r="I139" s="134">
        <f>SUM(I140:I141)</f>
        <v>5322.0565100000003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8213</v>
      </c>
      <c r="E140" s="65">
        <v>8932</v>
      </c>
      <c r="F140" s="129">
        <f>13.8204</f>
        <v>13.820399999999999</v>
      </c>
      <c r="G140" s="129">
        <f>5566.86172</f>
        <v>5566.8617199999999</v>
      </c>
      <c r="H140" s="129">
        <f t="shared" ref="H140:H147" si="12">E140-G140</f>
        <v>3365.1382800000001</v>
      </c>
      <c r="I140" s="129">
        <f>5225.5397</f>
        <v>5225.5397000000003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0.279</f>
        <v>0.27900000000000003</v>
      </c>
      <c r="G141" s="129">
        <f>121.43163</f>
        <v>121.43163</v>
      </c>
      <c r="H141" s="129">
        <f t="shared" si="12"/>
        <v>378.56837000000002</v>
      </c>
      <c r="I141" s="129">
        <f>96.51681</f>
        <v>96.516810000000007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12004</v>
      </c>
      <c r="F142" s="77">
        <f>127.11392</f>
        <v>127.11391999999999</v>
      </c>
      <c r="G142" s="77">
        <f>2717.31153</f>
        <v>2717.3115299999999</v>
      </c>
      <c r="H142" s="77">
        <f t="shared" si="12"/>
        <v>9286.688470000001</v>
      </c>
      <c r="I142" s="77">
        <f>2206.50433</f>
        <v>2206.5043300000002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0.0037</f>
        <v>3.7000000000000002E-3</v>
      </c>
      <c r="G143" s="141">
        <f>21.30929</f>
        <v>21.309290000000001</v>
      </c>
      <c r="H143" s="141">
        <f t="shared" si="12"/>
        <v>115.69071</v>
      </c>
      <c r="I143" s="141">
        <f>20.96597</f>
        <v>20.965969999999999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0</f>
        <v>0</v>
      </c>
      <c r="H144" s="100">
        <f t="shared" si="12"/>
        <v>250</v>
      </c>
      <c r="I144" s="100">
        <f>99.527</f>
        <v>99.527000000000001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11.6452</f>
        <v>11.645200000000001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203235</v>
      </c>
      <c r="F150" s="78">
        <f>F128+F132+F133+F143+F144+F145+F146+F147+F148</f>
        <v>1694.1667199999999</v>
      </c>
      <c r="G150" s="78">
        <f>G128+G132+G133+G143+G144+G145+G146+G147+G148</f>
        <v>77721.196070000005</v>
      </c>
      <c r="H150" s="78">
        <f>H128+H132+H133+H143+H144+H145+H146+H147+H148</f>
        <v>125513.80392999999</v>
      </c>
      <c r="I150" s="78">
        <f>I128+I132+I133+I143+I144+I145+I146+I147+I148</f>
        <v>72098.681570000001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131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144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147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132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140</v>
      </c>
      <c r="F174" s="15" t="s">
        <v>141</v>
      </c>
      <c r="G174" s="56" t="s">
        <v>142</v>
      </c>
      <c r="H174" s="15" t="s">
        <v>143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3.81171</f>
        <v>3.8117100000000002</v>
      </c>
      <c r="F175" s="274">
        <f>600.90867</f>
        <v>600.90867000000003</v>
      </c>
      <c r="G175" s="45">
        <f>D175-F175-F176</f>
        <v>4082.7405400000002</v>
      </c>
      <c r="H175" s="274">
        <f>469.42653</f>
        <v>469.42653000000001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1.34466</f>
        <v>1.34466</v>
      </c>
      <c r="F176" s="154">
        <f>304.35079</f>
        <v>304.35079000000002</v>
      </c>
      <c r="G176" s="215"/>
      <c r="H176" s="154">
        <f>629.43431</f>
        <v>629.43430999999998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0.05094</f>
        <v>5.0939999999999999E-2</v>
      </c>
      <c r="F177" s="174">
        <f>32.42226</f>
        <v>32.422260000000001</v>
      </c>
      <c r="G177" s="174">
        <f>D177-F177</f>
        <v>167.57774000000001</v>
      </c>
      <c r="H177" s="174">
        <f>46.89926</f>
        <v>46.899259999999998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2.4363600000000001</v>
      </c>
      <c r="F178" s="183">
        <f>F179+F180+F181</f>
        <v>26.604959999999998</v>
      </c>
      <c r="G178" s="183">
        <f>D178-F178</f>
        <v>7454.3950400000003</v>
      </c>
      <c r="H178" s="183">
        <f>H179+H180+H181</f>
        <v>31.39208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0.96728</f>
        <v>0.96728000000000003</v>
      </c>
      <c r="F179" s="129">
        <f>9.01548</f>
        <v>9.0154800000000002</v>
      </c>
      <c r="G179" s="129"/>
      <c r="H179" s="129">
        <f>2.79776</f>
        <v>2.7977599999999998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1.46908</f>
        <v>1.4690799999999999</v>
      </c>
      <c r="F180" s="129">
        <f>16.48536</f>
        <v>16.48536</v>
      </c>
      <c r="G180" s="129"/>
      <c r="H180" s="129">
        <f>23.85339</f>
        <v>23.853390000000001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0</f>
        <v>0</v>
      </c>
      <c r="F181" s="194">
        <f>1.10412</f>
        <v>1.10412</v>
      </c>
      <c r="G181" s="194"/>
      <c r="H181" s="194">
        <f>4.74093</f>
        <v>4.7409299999999996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7.6436700000000002</v>
      </c>
      <c r="F184" s="196">
        <f>F175+F176+F177+F178+F182+F183</f>
        <v>964.28668000000005</v>
      </c>
      <c r="G184" s="196">
        <f>D184-F184</f>
        <v>11770.713320000001</v>
      </c>
      <c r="H184" s="196">
        <f>H175+H176+H177+H178+H182+H183</f>
        <v>1177.15218</v>
      </c>
      <c r="I184" s="165"/>
      <c r="J184" s="162"/>
    </row>
    <row r="185" spans="1:10" ht="42" customHeight="1" x14ac:dyDescent="0.25">
      <c r="A185" s="1"/>
      <c r="B185" s="200"/>
      <c r="C185" s="225" t="s">
        <v>133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134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135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136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140</v>
      </c>
      <c r="F203" s="68" t="s">
        <v>141</v>
      </c>
      <c r="G203" s="68" t="s">
        <v>142</v>
      </c>
      <c r="H203" s="68" t="s">
        <v>143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49.7619</f>
        <v>49.761899999999997</v>
      </c>
      <c r="F204" s="124">
        <f>8026.65012</f>
        <v>8026.6501200000002</v>
      </c>
      <c r="G204" s="124">
        <f>D204-F204</f>
        <v>35812.349880000002</v>
      </c>
      <c r="H204" s="124">
        <f>4585.8313</f>
        <v>4585.8312999999998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0.19046</f>
        <v>0.19045999999999999</v>
      </c>
      <c r="F205" s="124">
        <f>2.19863</f>
        <v>2.1986300000000001</v>
      </c>
      <c r="G205" s="124">
        <f>D205-F205</f>
        <v>97.801370000000006</v>
      </c>
      <c r="H205" s="124">
        <f>20.01676</f>
        <v>20.016760000000001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49.952359999999999</v>
      </c>
      <c r="F207" s="190">
        <f>SUM(F204:F206)</f>
        <v>8028.8487500000001</v>
      </c>
      <c r="G207" s="190">
        <f>D207-F207</f>
        <v>35952.151250000003</v>
      </c>
      <c r="H207" s="190">
        <f>SUM(H204:H206)</f>
        <v>4605.8480600000003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25">
      <c r="A243" s="216"/>
      <c r="B243" s="216"/>
      <c r="C243" s="217" t="s">
        <v>90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25">
      <c r="A244" s="216" t="s">
        <v>120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" customHeight="1" x14ac:dyDescent="0.2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" customHeight="1" x14ac:dyDescent="0.25">
      <c r="A246" s="159"/>
      <c r="B246" s="54"/>
      <c r="C246" s="151" t="s">
        <v>1</v>
      </c>
      <c r="D246" s="187"/>
      <c r="E246" s="152"/>
      <c r="F246" s="152"/>
      <c r="G246" s="159"/>
      <c r="H246" s="159"/>
      <c r="I246" s="159"/>
      <c r="J246" s="122"/>
    </row>
    <row r="247" spans="1:10" ht="14.1" customHeight="1" x14ac:dyDescent="0.25">
      <c r="A247" s="1"/>
      <c r="B247" s="252"/>
      <c r="C247" s="257" t="s">
        <v>85</v>
      </c>
      <c r="D247" s="268">
        <v>3299</v>
      </c>
      <c r="E247" s="152"/>
      <c r="F247" s="223"/>
      <c r="G247" s="1"/>
      <c r="H247" s="1"/>
      <c r="I247" s="1"/>
      <c r="J247" s="122"/>
    </row>
    <row r="248" spans="1:10" ht="14.1" customHeight="1" x14ac:dyDescent="0.25">
      <c r="A248" s="1"/>
      <c r="B248" s="252"/>
      <c r="C248" s="246" t="s">
        <v>91</v>
      </c>
      <c r="D248" s="46">
        <v>9882</v>
      </c>
      <c r="E248" s="152"/>
      <c r="F248" s="223"/>
      <c r="G248" s="1"/>
      <c r="H248" s="1"/>
      <c r="I248" s="1"/>
      <c r="J248" s="122"/>
    </row>
    <row r="249" spans="1:10" ht="14.1" customHeight="1" x14ac:dyDescent="0.25">
      <c r="A249" s="1"/>
      <c r="B249" s="252"/>
      <c r="C249" s="246" t="s">
        <v>92</v>
      </c>
      <c r="D249" s="46">
        <v>8089</v>
      </c>
      <c r="E249" s="152"/>
      <c r="F249" s="223"/>
      <c r="G249" s="1"/>
      <c r="H249" s="1"/>
      <c r="I249" s="1"/>
      <c r="J249" s="122"/>
    </row>
    <row r="250" spans="1:10" ht="13.5" customHeight="1" x14ac:dyDescent="0.25">
      <c r="A250" s="1"/>
      <c r="B250" s="252"/>
      <c r="C250" s="246" t="s">
        <v>75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25">
      <c r="A251" s="1"/>
      <c r="B251" s="252"/>
      <c r="C251" s="57" t="s">
        <v>50</v>
      </c>
      <c r="D251" s="35">
        <f>SUM(D247:D250)</f>
        <v>21652</v>
      </c>
      <c r="E251" s="152"/>
      <c r="F251" s="152"/>
      <c r="G251" s="1"/>
      <c r="H251" s="1"/>
      <c r="I251" s="1"/>
      <c r="J251" s="122"/>
    </row>
    <row r="252" spans="1:10" ht="14.1" customHeight="1" x14ac:dyDescent="0.25">
      <c r="A252" s="1"/>
      <c r="B252" s="252"/>
      <c r="C252" s="226" t="s">
        <v>93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25">
      <c r="A253" s="1"/>
      <c r="B253" s="252"/>
      <c r="C253" s="101" t="s">
        <v>94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25">
      <c r="A254" s="1"/>
      <c r="B254" s="252"/>
      <c r="C254" s="101" t="s">
        <v>95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25">
      <c r="A255" s="1"/>
      <c r="B255" s="229"/>
      <c r="C255" s="232" t="s">
        <v>15</v>
      </c>
      <c r="D255" s="232"/>
      <c r="E255" s="232"/>
      <c r="F255" s="232"/>
      <c r="G255" s="232"/>
      <c r="H255" s="232"/>
      <c r="I255" s="232"/>
      <c r="J255" s="236"/>
    </row>
    <row r="256" spans="1:10" ht="14.1" customHeight="1" x14ac:dyDescent="0.2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x14ac:dyDescent="0.25">
      <c r="A257" s="1"/>
      <c r="B257" s="252"/>
      <c r="C257" s="68" t="s">
        <v>16</v>
      </c>
      <c r="D257" s="241" t="s">
        <v>2</v>
      </c>
      <c r="E257" s="68" t="s">
        <v>140</v>
      </c>
      <c r="F257" s="68" t="s">
        <v>141</v>
      </c>
      <c r="G257" s="68" t="s">
        <v>142</v>
      </c>
      <c r="H257" s="68" t="s">
        <v>143</v>
      </c>
      <c r="I257" s="1"/>
      <c r="J257" s="118"/>
    </row>
    <row r="258" spans="1:10" ht="14.1" customHeight="1" x14ac:dyDescent="0.25">
      <c r="A258" s="70"/>
      <c r="B258" s="81"/>
      <c r="C258" s="90" t="s">
        <v>96</v>
      </c>
      <c r="D258" s="124">
        <v>800</v>
      </c>
      <c r="E258" s="124">
        <f>12.78564</f>
        <v>12.785640000000001</v>
      </c>
      <c r="F258" s="124">
        <f>153.88177</f>
        <v>153.88176999999999</v>
      </c>
      <c r="G258" s="124">
        <f>D258-F258</f>
        <v>646.11823000000004</v>
      </c>
      <c r="H258" s="124">
        <f>92.40676</f>
        <v>92.406760000000006</v>
      </c>
      <c r="I258" s="70"/>
      <c r="J258" s="242"/>
    </row>
    <row r="259" spans="1:10" ht="14.1" customHeight="1" x14ac:dyDescent="0.25">
      <c r="A259" s="1"/>
      <c r="B259" s="252"/>
      <c r="C259" s="90" t="s">
        <v>97</v>
      </c>
      <c r="D259" s="244">
        <v>2494</v>
      </c>
      <c r="E259" s="124">
        <f>16.6213</f>
        <v>16.621300000000002</v>
      </c>
      <c r="F259" s="124">
        <f>474.06366</f>
        <v>474.06366000000003</v>
      </c>
      <c r="G259" s="124">
        <f>D259-F259</f>
        <v>2019.93634</v>
      </c>
      <c r="H259" s="124">
        <f>253.69482</f>
        <v>253.69481999999999</v>
      </c>
      <c r="I259" s="181"/>
      <c r="J259" s="118"/>
    </row>
    <row r="260" spans="1:10" ht="16.5" customHeight="1" x14ac:dyDescent="0.25">
      <c r="A260" s="70"/>
      <c r="B260" s="81"/>
      <c r="C260" s="146" t="s">
        <v>82</v>
      </c>
      <c r="D260" s="244">
        <v>5</v>
      </c>
      <c r="E260" s="168">
        <f>0</f>
        <v>0</v>
      </c>
      <c r="F260" s="168">
        <f>0.6352</f>
        <v>0.63519999999999999</v>
      </c>
      <c r="G260" s="124">
        <f>D260-F260</f>
        <v>4.3647999999999998</v>
      </c>
      <c r="H260" s="168">
        <f>0.5865</f>
        <v>0.58650000000000002</v>
      </c>
      <c r="I260" s="70"/>
      <c r="J260" s="247"/>
    </row>
    <row r="261" spans="1:10" ht="18.75" customHeight="1" x14ac:dyDescent="0.25">
      <c r="A261" s="70"/>
      <c r="B261" s="248"/>
      <c r="C261" s="146" t="s">
        <v>98</v>
      </c>
      <c r="D261" s="220"/>
      <c r="E261" s="168">
        <f>0</f>
        <v>0</v>
      </c>
      <c r="F261" s="168">
        <f>0.19282</f>
        <v>0.19281999999999999</v>
      </c>
      <c r="G261" s="124"/>
      <c r="H261" s="168">
        <f>2.76298</f>
        <v>2.7629800000000002</v>
      </c>
      <c r="I261" s="282"/>
      <c r="J261" s="122"/>
    </row>
    <row r="262" spans="1:10" ht="14.1" customHeight="1" x14ac:dyDescent="0.25">
      <c r="A262" s="1"/>
      <c r="B262" s="252"/>
      <c r="C262" s="179" t="s">
        <v>88</v>
      </c>
      <c r="D262" s="6">
        <f>D247</f>
        <v>3299</v>
      </c>
      <c r="E262" s="190">
        <f>SUM(E258:E261)</f>
        <v>29.406940000000002</v>
      </c>
      <c r="F262" s="190">
        <f>SUM(F258:F261)</f>
        <v>628.77345000000003</v>
      </c>
      <c r="G262" s="190">
        <f>D262-F262</f>
        <v>2670.2265499999999</v>
      </c>
      <c r="H262" s="190">
        <f>H258+H259+H260+H261</f>
        <v>349.45106000000004</v>
      </c>
      <c r="I262" s="1"/>
      <c r="J262" s="122"/>
    </row>
    <row r="263" spans="1:10" ht="14.1" customHeight="1" x14ac:dyDescent="0.2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" customHeight="1" x14ac:dyDescent="0.2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" customHeight="1" x14ac:dyDescent="0.25">
      <c r="A265" s="1"/>
      <c r="C265" s="152" t="s">
        <v>120</v>
      </c>
    </row>
    <row r="266" spans="1:10" ht="14.1" customHeight="1" x14ac:dyDescent="0.25">
      <c r="A266" s="1" t="s">
        <v>120</v>
      </c>
    </row>
    <row r="267" spans="1:10" ht="14.1" customHeight="1" x14ac:dyDescent="0.25">
      <c r="A267" s="1" t="s">
        <v>120</v>
      </c>
    </row>
    <row r="268" spans="1:10" ht="14.1" customHeight="1" x14ac:dyDescent="0.25">
      <c r="A268" s="1"/>
      <c r="C268" s="152" t="s">
        <v>120</v>
      </c>
    </row>
    <row r="269" spans="1:10" ht="36" customHeight="1" x14ac:dyDescent="0.25">
      <c r="A269" s="1"/>
      <c r="C269" s="152" t="s">
        <v>120</v>
      </c>
    </row>
    <row r="270" spans="1:10" ht="14.1" customHeight="1" x14ac:dyDescent="0.25">
      <c r="A270" s="1"/>
      <c r="C270" s="152" t="s">
        <v>120</v>
      </c>
    </row>
    <row r="271" spans="1:10" ht="14.1" customHeight="1" x14ac:dyDescent="0.25">
      <c r="A271" s="1"/>
      <c r="C271" s="152" t="s">
        <v>120</v>
      </c>
    </row>
    <row r="272" spans="1:10" ht="30" customHeight="1" x14ac:dyDescent="0.35">
      <c r="A272" s="216"/>
      <c r="B272" s="1"/>
      <c r="C272" s="213" t="s">
        <v>99</v>
      </c>
      <c r="D272" s="159"/>
      <c r="E272" s="1"/>
      <c r="F272" s="1"/>
      <c r="G272" s="1"/>
      <c r="H272" s="1"/>
      <c r="I272" s="1"/>
      <c r="J272" s="1"/>
    </row>
    <row r="273" spans="1:10" ht="17.100000000000001" customHeight="1" x14ac:dyDescent="0.2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2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25">
      <c r="B275" s="74"/>
      <c r="C275" s="151" t="s">
        <v>1</v>
      </c>
      <c r="D275" s="187"/>
      <c r="E275" s="151" t="s">
        <v>100</v>
      </c>
      <c r="F275" s="187"/>
      <c r="G275" s="151" t="s">
        <v>101</v>
      </c>
      <c r="H275" s="187"/>
      <c r="I275" s="152"/>
      <c r="J275" s="132"/>
    </row>
    <row r="276" spans="1:10" ht="14.25" customHeight="1" x14ac:dyDescent="0.25">
      <c r="B276" s="74"/>
      <c r="C276" s="257" t="s">
        <v>85</v>
      </c>
      <c r="D276" s="268">
        <v>27365</v>
      </c>
      <c r="E276" s="250" t="s">
        <v>4</v>
      </c>
      <c r="F276" s="105">
        <v>13865</v>
      </c>
      <c r="G276" s="246" t="s">
        <v>20</v>
      </c>
      <c r="H276" s="46">
        <v>6472</v>
      </c>
      <c r="I276" s="152"/>
      <c r="J276" s="132"/>
    </row>
    <row r="277" spans="1:10" ht="14.25" customHeight="1" x14ac:dyDescent="0.25">
      <c r="B277" s="74"/>
      <c r="C277" s="246" t="s">
        <v>92</v>
      </c>
      <c r="D277" s="46">
        <v>19433</v>
      </c>
      <c r="E277" s="181" t="s">
        <v>97</v>
      </c>
      <c r="F277" s="49">
        <v>8000</v>
      </c>
      <c r="G277" s="246" t="s">
        <v>21</v>
      </c>
      <c r="H277" s="46">
        <v>1684</v>
      </c>
      <c r="I277" s="152"/>
      <c r="J277" s="132"/>
    </row>
    <row r="278" spans="1:10" ht="14.25" customHeight="1" x14ac:dyDescent="0.25">
      <c r="B278" s="74"/>
      <c r="C278" s="246" t="s">
        <v>91</v>
      </c>
      <c r="D278" s="46">
        <v>6186</v>
      </c>
      <c r="E278" s="181" t="s">
        <v>60</v>
      </c>
      <c r="F278" s="49">
        <v>5500</v>
      </c>
      <c r="G278" s="246" t="s">
        <v>102</v>
      </c>
      <c r="H278" s="46">
        <v>4296</v>
      </c>
      <c r="I278" s="152"/>
      <c r="J278" s="132"/>
    </row>
    <row r="279" spans="1:10" ht="14.1" customHeight="1" x14ac:dyDescent="0.25">
      <c r="B279" s="74"/>
      <c r="C279" s="246"/>
      <c r="D279" s="46"/>
      <c r="E279" s="133"/>
      <c r="F279" s="147"/>
      <c r="G279" s="246" t="s">
        <v>103</v>
      </c>
      <c r="H279" s="46">
        <v>1313</v>
      </c>
      <c r="I279" s="152"/>
      <c r="J279" s="132"/>
    </row>
    <row r="280" spans="1:10" ht="14.1" customHeight="1" x14ac:dyDescent="0.25">
      <c r="B280" s="74"/>
      <c r="C280" s="57" t="s">
        <v>50</v>
      </c>
      <c r="D280" s="35">
        <v>53374</v>
      </c>
      <c r="E280" s="175" t="s">
        <v>104</v>
      </c>
      <c r="F280" s="35">
        <f>F276+F277+F278</f>
        <v>27365</v>
      </c>
      <c r="G280" s="57" t="s">
        <v>4</v>
      </c>
      <c r="H280" s="35">
        <f>SUM(H276:H279)</f>
        <v>13765</v>
      </c>
      <c r="I280" s="152"/>
      <c r="J280" s="132"/>
    </row>
    <row r="281" spans="1:10" ht="13.35" customHeight="1" x14ac:dyDescent="0.25">
      <c r="B281" s="74"/>
      <c r="C281" s="101" t="s">
        <v>121</v>
      </c>
      <c r="D281" s="181"/>
      <c r="E281" s="181"/>
      <c r="F281" s="181"/>
      <c r="G281" s="1"/>
      <c r="H281" s="181"/>
      <c r="I281" s="181"/>
      <c r="J281" s="242"/>
    </row>
    <row r="282" spans="1:10" ht="13.35" customHeight="1" x14ac:dyDescent="0.25">
      <c r="B282" s="74"/>
      <c r="C282" s="101" t="s">
        <v>105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2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2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25">
      <c r="B285" s="229"/>
      <c r="C285" s="232" t="s">
        <v>15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25">
      <c r="B286" s="200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25">
      <c r="B287" s="74"/>
      <c r="C287" s="221" t="s">
        <v>16</v>
      </c>
      <c r="D287" s="230" t="s">
        <v>17</v>
      </c>
      <c r="E287" s="68" t="s">
        <v>106</v>
      </c>
      <c r="F287" s="221" t="s">
        <v>140</v>
      </c>
      <c r="G287" s="221" t="s">
        <v>141</v>
      </c>
      <c r="H287" s="221" t="s">
        <v>142</v>
      </c>
      <c r="I287" s="221" t="s">
        <v>143</v>
      </c>
      <c r="J287" s="132"/>
    </row>
    <row r="288" spans="1:10" ht="14.1" customHeight="1" x14ac:dyDescent="0.25">
      <c r="A288" s="216"/>
      <c r="B288" s="74"/>
      <c r="C288" s="245" t="s">
        <v>19</v>
      </c>
      <c r="D288" s="249">
        <f t="shared" ref="D288:I288" si="14">D292+D291+D290+D289</f>
        <v>13765</v>
      </c>
      <c r="E288" s="249">
        <f t="shared" si="14"/>
        <v>16102</v>
      </c>
      <c r="F288" s="251">
        <f t="shared" si="14"/>
        <v>279.89519000000001</v>
      </c>
      <c r="G288" s="251">
        <f t="shared" si="14"/>
        <v>3605.4769299999998</v>
      </c>
      <c r="H288" s="251">
        <f>H292+H291+H290+H289</f>
        <v>12496.523069999999</v>
      </c>
      <c r="I288" s="251">
        <f t="shared" si="14"/>
        <v>1690.63519</v>
      </c>
      <c r="J288" s="132"/>
    </row>
    <row r="289" spans="1:10" ht="14.1" customHeight="1" x14ac:dyDescent="0.25">
      <c r="A289" s="216"/>
      <c r="B289" s="74"/>
      <c r="C289" s="253" t="s">
        <v>107</v>
      </c>
      <c r="D289" s="254">
        <v>6472</v>
      </c>
      <c r="E289" s="254">
        <v>8177</v>
      </c>
      <c r="F289" s="255">
        <f>0</f>
        <v>0</v>
      </c>
      <c r="G289" s="255">
        <f>1619.98708</f>
        <v>1619.9870800000001</v>
      </c>
      <c r="H289" s="255">
        <f t="shared" ref="H289:H293" si="15">E289-G289</f>
        <v>6557.0129200000001</v>
      </c>
      <c r="I289" s="255">
        <f>532.25235</f>
        <v>532.25234999999998</v>
      </c>
      <c r="J289" s="132"/>
    </row>
    <row r="290" spans="1:10" ht="14.1" customHeight="1" x14ac:dyDescent="0.25">
      <c r="A290" s="216"/>
      <c r="B290" s="74"/>
      <c r="C290" s="258" t="s">
        <v>21</v>
      </c>
      <c r="D290" s="254">
        <v>1684</v>
      </c>
      <c r="E290" s="254">
        <v>2128</v>
      </c>
      <c r="F290" s="255">
        <f>198.6201</f>
        <v>198.62010000000001</v>
      </c>
      <c r="G290" s="255">
        <f>764.7831</f>
        <v>764.78309999999999</v>
      </c>
      <c r="H290" s="255">
        <f t="shared" si="15"/>
        <v>1363.2168999999999</v>
      </c>
      <c r="I290" s="255">
        <f>490.4118</f>
        <v>490.41180000000003</v>
      </c>
      <c r="J290" s="132"/>
    </row>
    <row r="291" spans="1:10" ht="14.1" customHeight="1" x14ac:dyDescent="0.25">
      <c r="A291" s="216"/>
      <c r="B291" s="74"/>
      <c r="C291" s="258" t="s">
        <v>103</v>
      </c>
      <c r="D291" s="254">
        <v>1313</v>
      </c>
      <c r="E291" s="254">
        <v>1357</v>
      </c>
      <c r="F291" s="255">
        <f>63.71844</f>
        <v>63.718440000000001</v>
      </c>
      <c r="G291" s="255">
        <f>900.96505</f>
        <v>900.96505000000002</v>
      </c>
      <c r="H291" s="255">
        <f t="shared" si="15"/>
        <v>456.03494999999998</v>
      </c>
      <c r="I291" s="255">
        <f>649.53944</f>
        <v>649.53944000000001</v>
      </c>
      <c r="J291" s="132"/>
    </row>
    <row r="292" spans="1:10" ht="14.1" customHeight="1" x14ac:dyDescent="0.25">
      <c r="A292" s="216"/>
      <c r="B292" s="74"/>
      <c r="C292" s="260" t="s">
        <v>108</v>
      </c>
      <c r="D292" s="261">
        <v>4296</v>
      </c>
      <c r="E292" s="261">
        <v>4440</v>
      </c>
      <c r="F292" s="255">
        <f>17.55665</f>
        <v>17.556650000000001</v>
      </c>
      <c r="G292" s="255">
        <f>319.7417</f>
        <v>319.74169999999998</v>
      </c>
      <c r="H292" s="255">
        <f t="shared" si="15"/>
        <v>4120.2583000000004</v>
      </c>
      <c r="I292" s="255">
        <f>18.4316</f>
        <v>18.4316</v>
      </c>
      <c r="J292" s="132"/>
    </row>
    <row r="293" spans="1:10" ht="14.1" customHeight="1" x14ac:dyDescent="0.25">
      <c r="A293" s="216"/>
      <c r="B293" s="74"/>
      <c r="C293" s="263" t="s">
        <v>60</v>
      </c>
      <c r="D293" s="264">
        <v>5500</v>
      </c>
      <c r="E293" s="264">
        <v>5500</v>
      </c>
      <c r="F293" s="266">
        <f>843.49336</f>
        <v>843.49336000000005</v>
      </c>
      <c r="G293" s="266">
        <f>2899.51102</f>
        <v>2899.5110199999999</v>
      </c>
      <c r="H293" s="266">
        <f t="shared" si="15"/>
        <v>2600.4889800000001</v>
      </c>
      <c r="I293" s="266">
        <f>2083.93772</f>
        <v>2083.9377199999999</v>
      </c>
      <c r="J293" s="132"/>
    </row>
    <row r="294" spans="1:10" ht="14.1" customHeight="1" x14ac:dyDescent="0.25">
      <c r="A294" s="216"/>
      <c r="B294" s="74"/>
      <c r="C294" s="245" t="s">
        <v>22</v>
      </c>
      <c r="D294" s="249">
        <v>8000</v>
      </c>
      <c r="E294" s="249">
        <v>8000</v>
      </c>
      <c r="F294" s="267">
        <f>F296+F295</f>
        <v>12.95515</v>
      </c>
      <c r="G294" s="267">
        <f>G296+G295</f>
        <v>1628.9643599999999</v>
      </c>
      <c r="H294" s="267">
        <f>E294-G294</f>
        <v>6371.0356400000001</v>
      </c>
      <c r="I294" s="267">
        <f>I296+I295</f>
        <v>1527.4239600000001</v>
      </c>
      <c r="J294" s="132"/>
    </row>
    <row r="295" spans="1:10" ht="14.1" customHeight="1" x14ac:dyDescent="0.25">
      <c r="A295" s="216"/>
      <c r="B295" s="74"/>
      <c r="C295" s="258" t="s">
        <v>54</v>
      </c>
      <c r="D295" s="269"/>
      <c r="E295" s="254"/>
      <c r="F295" s="255">
        <f>0</f>
        <v>0</v>
      </c>
      <c r="G295" s="255">
        <f>746.70325</f>
        <v>746.70325000000003</v>
      </c>
      <c r="H295" s="255"/>
      <c r="I295" s="255">
        <f>891.39776</f>
        <v>891.39775999999995</v>
      </c>
      <c r="J295" s="132"/>
    </row>
    <row r="296" spans="1:10" ht="14.1" customHeight="1" x14ac:dyDescent="0.25">
      <c r="A296" s="216"/>
      <c r="B296" s="74"/>
      <c r="C296" s="271" t="s">
        <v>109</v>
      </c>
      <c r="D296" s="272"/>
      <c r="E296" s="275"/>
      <c r="F296" s="276">
        <f>12.95515</f>
        <v>12.95515</v>
      </c>
      <c r="G296" s="276">
        <f>882.26111</f>
        <v>882.26111000000003</v>
      </c>
      <c r="H296" s="276"/>
      <c r="I296" s="276">
        <f>636.0262</f>
        <v>636.02620000000002</v>
      </c>
      <c r="J296" s="132"/>
    </row>
    <row r="297" spans="1:10" ht="14.1" customHeight="1" x14ac:dyDescent="0.25">
      <c r="A297" s="216"/>
      <c r="B297" s="74"/>
      <c r="C297" s="263" t="s">
        <v>34</v>
      </c>
      <c r="D297" s="264">
        <v>10</v>
      </c>
      <c r="E297" s="264">
        <v>10</v>
      </c>
      <c r="F297" s="266">
        <f>0</f>
        <v>0</v>
      </c>
      <c r="G297" s="266">
        <f>0.0651</f>
        <v>6.5100000000000005E-2</v>
      </c>
      <c r="H297" s="266">
        <f>E297-G297</f>
        <v>9.9349000000000007</v>
      </c>
      <c r="I297" s="266">
        <f>0.1458</f>
        <v>0.14580000000000001</v>
      </c>
      <c r="J297" s="132"/>
    </row>
    <row r="298" spans="1:10" ht="14.1" customHeight="1" x14ac:dyDescent="0.25">
      <c r="A298" s="216"/>
      <c r="B298" s="74"/>
      <c r="C298" s="277" t="s">
        <v>110</v>
      </c>
      <c r="D298" s="280"/>
      <c r="E298" s="281"/>
      <c r="F298" s="266">
        <f>0.14244</f>
        <v>0.14244000000000001</v>
      </c>
      <c r="G298" s="266">
        <f>23.11744</f>
        <v>23.117439999999998</v>
      </c>
      <c r="H298" s="266">
        <f>E298-G298</f>
        <v>-23.117439999999998</v>
      </c>
      <c r="I298" s="266">
        <f>13.42583</f>
        <v>13.425829999999999</v>
      </c>
      <c r="J298" s="132"/>
    </row>
    <row r="299" spans="1:10" ht="19.5" customHeight="1" x14ac:dyDescent="0.25">
      <c r="A299" s="216"/>
      <c r="B299" s="74"/>
      <c r="C299" s="283" t="s">
        <v>41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6">F288+F293+F294+F297+F298</f>
        <v>1136.4861400000002</v>
      </c>
      <c r="G299" s="285">
        <f t="shared" si="16"/>
        <v>8157.1348499999995</v>
      </c>
      <c r="H299" s="285">
        <f>H288+H293+H294+H297+H298</f>
        <v>21454.865149999998</v>
      </c>
      <c r="I299" s="285">
        <f t="shared" si="16"/>
        <v>5315.5685000000003</v>
      </c>
      <c r="J299" s="132"/>
    </row>
    <row r="300" spans="1:10" ht="14.1" customHeight="1" x14ac:dyDescent="0.25">
      <c r="A300" s="216"/>
      <c r="B300" s="74"/>
      <c r="C300" s="163" t="s">
        <v>111</v>
      </c>
      <c r="D300" s="287"/>
      <c r="E300" s="287"/>
      <c r="F300" s="4"/>
      <c r="G300" s="4"/>
      <c r="H300" s="5"/>
      <c r="I300" s="5"/>
      <c r="J300" s="132"/>
    </row>
    <row r="301" spans="1:10" ht="14.1" customHeight="1" x14ac:dyDescent="0.25">
      <c r="A301" s="216"/>
      <c r="B301" s="74"/>
      <c r="C301" s="101" t="s">
        <v>122</v>
      </c>
      <c r="D301" s="287"/>
      <c r="E301" s="287"/>
      <c r="F301" s="4"/>
      <c r="G301" s="4"/>
      <c r="H301" s="7"/>
      <c r="I301" s="5"/>
      <c r="J301" s="132"/>
    </row>
    <row r="302" spans="1:10" ht="14.1" customHeight="1" x14ac:dyDescent="0.25">
      <c r="A302" s="216"/>
      <c r="B302" s="74"/>
      <c r="C302" s="101" t="s">
        <v>123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2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25">
      <c r="A304" s="216"/>
      <c r="B304" s="152" t="s">
        <v>120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25">
      <c r="A305" s="216"/>
      <c r="B305" s="152" t="s">
        <v>120</v>
      </c>
      <c r="C305" s="14"/>
      <c r="D305" s="1"/>
      <c r="E305" s="1"/>
      <c r="F305" s="1"/>
      <c r="G305" s="1"/>
      <c r="H305" s="1"/>
      <c r="I305" s="1"/>
      <c r="J305" s="152"/>
    </row>
    <row r="306" spans="1:10" ht="14.1" customHeight="1" x14ac:dyDescent="0.25">
      <c r="A306" s="216"/>
      <c r="C306" s="152" t="s">
        <v>120</v>
      </c>
      <c r="D306" s="159"/>
    </row>
    <row r="307" spans="1:10" ht="14.1" customHeight="1" x14ac:dyDescent="0.2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" customHeight="1" x14ac:dyDescent="0.25">
      <c r="A308" s="216"/>
      <c r="B308" s="74"/>
      <c r="C308" s="217" t="s">
        <v>112</v>
      </c>
      <c r="D308" s="159"/>
      <c r="E308" s="152"/>
      <c r="G308" s="152"/>
      <c r="H308" s="152"/>
      <c r="I308" s="152"/>
      <c r="J308" s="132"/>
    </row>
    <row r="309" spans="1:10" ht="14.1" customHeight="1" x14ac:dyDescent="0.2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" customHeight="1" x14ac:dyDescent="0.25">
      <c r="A310" s="216"/>
      <c r="B310" s="74"/>
      <c r="C310" s="151" t="s">
        <v>113</v>
      </c>
      <c r="D310" s="187"/>
      <c r="E310" s="152"/>
      <c r="F310" s="152"/>
      <c r="G310" s="152"/>
      <c r="H310" s="152"/>
      <c r="I310" s="152"/>
      <c r="J310" s="132"/>
    </row>
    <row r="311" spans="1:10" ht="14.1" customHeight="1" x14ac:dyDescent="0.25">
      <c r="A311" s="216"/>
      <c r="B311" s="74"/>
      <c r="C311" s="257" t="s">
        <v>85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" customHeight="1" x14ac:dyDescent="0.25">
      <c r="A312" s="216"/>
      <c r="B312" s="74"/>
      <c r="C312" s="246" t="s">
        <v>92</v>
      </c>
      <c r="D312" s="46">
        <v>2399</v>
      </c>
      <c r="E312" s="152"/>
      <c r="G312" s="152"/>
      <c r="H312" s="152"/>
      <c r="I312" s="152"/>
      <c r="J312" s="132"/>
    </row>
    <row r="313" spans="1:10" ht="14.1" customHeight="1" x14ac:dyDescent="0.25">
      <c r="A313" s="216"/>
      <c r="B313" s="74"/>
      <c r="C313" s="246" t="s">
        <v>75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" customHeight="1" x14ac:dyDescent="0.25">
      <c r="A314" s="216"/>
      <c r="B314" s="74"/>
      <c r="C314" s="57" t="s">
        <v>50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" customHeight="1" x14ac:dyDescent="0.25">
      <c r="A315" s="216"/>
      <c r="B315" s="74"/>
      <c r="C315" s="226" t="s">
        <v>114</v>
      </c>
      <c r="D315" s="147"/>
      <c r="E315" s="152"/>
      <c r="F315" s="152"/>
      <c r="G315" s="152"/>
      <c r="H315" s="152"/>
      <c r="I315" s="152"/>
      <c r="J315" s="132"/>
    </row>
    <row r="316" spans="1:10" ht="14.1" customHeight="1" x14ac:dyDescent="0.25">
      <c r="A316" s="216"/>
      <c r="B316" s="74"/>
      <c r="C316" s="101" t="s">
        <v>124</v>
      </c>
      <c r="D316" s="133"/>
      <c r="E316" s="152"/>
      <c r="F316" s="152"/>
      <c r="G316" s="152"/>
      <c r="H316" s="152"/>
      <c r="I316" s="152"/>
      <c r="J316" s="132"/>
    </row>
    <row r="317" spans="1:10" ht="14.1" customHeight="1" x14ac:dyDescent="0.2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" customHeight="1" x14ac:dyDescent="0.2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25">
      <c r="A319" s="216"/>
      <c r="B319" s="229"/>
      <c r="C319" s="232" t="s">
        <v>15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25">
      <c r="A320" s="216"/>
      <c r="B320" s="200"/>
      <c r="C320" s="20" t="s">
        <v>115</v>
      </c>
      <c r="D320" s="22" t="s">
        <v>116</v>
      </c>
      <c r="E320" s="20" t="s">
        <v>140</v>
      </c>
      <c r="F320" s="20" t="s">
        <v>141</v>
      </c>
      <c r="G320" s="25" t="s">
        <v>142</v>
      </c>
      <c r="H320" s="20" t="s">
        <v>143</v>
      </c>
      <c r="I320" s="222"/>
      <c r="J320" s="13"/>
    </row>
    <row r="321" spans="1:10" ht="14.1" customHeight="1" x14ac:dyDescent="0.25">
      <c r="A321" s="216"/>
      <c r="B321" s="74"/>
      <c r="C321" s="263" t="s">
        <v>117</v>
      </c>
      <c r="D321" s="10">
        <v>2241</v>
      </c>
      <c r="E321" s="26">
        <f>E323+E322</f>
        <v>0</v>
      </c>
      <c r="F321" s="26">
        <f>F323+F322</f>
        <v>2184.5746300000001</v>
      </c>
      <c r="G321" s="87">
        <f>D321-F321</f>
        <v>56.42536999999993</v>
      </c>
      <c r="H321" s="26">
        <f>SUM(H322:H323)</f>
        <v>1387.2783300000001</v>
      </c>
      <c r="I321" s="27"/>
      <c r="J321" s="132"/>
    </row>
    <row r="322" spans="1:10" ht="14.1" customHeight="1" x14ac:dyDescent="0.25">
      <c r="A322" s="216"/>
      <c r="B322" s="74"/>
      <c r="C322" s="29" t="s">
        <v>8</v>
      </c>
      <c r="D322" s="206"/>
      <c r="E322" s="207">
        <f>0</f>
        <v>0</v>
      </c>
      <c r="F322" s="207">
        <f>1702.38413</f>
        <v>1702.3841299999999</v>
      </c>
      <c r="G322" s="208"/>
      <c r="H322" s="207">
        <f>1081.99515</f>
        <v>1081.99515</v>
      </c>
      <c r="I322" s="152"/>
      <c r="J322" s="132"/>
    </row>
    <row r="323" spans="1:10" ht="14.1" customHeight="1" x14ac:dyDescent="0.25">
      <c r="A323" s="216"/>
      <c r="B323" s="74"/>
      <c r="C323" s="29" t="s">
        <v>11</v>
      </c>
      <c r="D323" s="209"/>
      <c r="E323" s="210">
        <f>0</f>
        <v>0</v>
      </c>
      <c r="F323" s="210">
        <f>482.1905</f>
        <v>482.19049999999999</v>
      </c>
      <c r="G323" s="211"/>
      <c r="H323" s="210">
        <f>305.28318</f>
        <v>305.28318000000002</v>
      </c>
      <c r="I323" s="152"/>
      <c r="J323" s="132"/>
    </row>
    <row r="324" spans="1:10" ht="14.1" customHeight="1" x14ac:dyDescent="0.25">
      <c r="A324" s="216"/>
      <c r="B324" s="74"/>
      <c r="C324" s="263" t="s">
        <v>118</v>
      </c>
      <c r="D324" s="10">
        <v>1120</v>
      </c>
      <c r="E324" s="26">
        <f>SUM(E325:E326)</f>
        <v>75.915499999999994</v>
      </c>
      <c r="F324" s="26">
        <f>SUM(F325:F326)</f>
        <v>75.915499999999994</v>
      </c>
      <c r="G324" s="87">
        <f>D324-F324</f>
        <v>1044.0844999999999</v>
      </c>
      <c r="H324" s="26">
        <f>SUM(H325:H326)</f>
        <v>98.346399999999988</v>
      </c>
      <c r="I324" s="27"/>
      <c r="J324" s="132"/>
    </row>
    <row r="325" spans="1:10" ht="14.1" customHeight="1" x14ac:dyDescent="0.25">
      <c r="A325" s="216"/>
      <c r="B325" s="74"/>
      <c r="C325" s="29" t="s">
        <v>8</v>
      </c>
      <c r="D325" s="44"/>
      <c r="E325" s="30">
        <f>54.842</f>
        <v>54.841999999999999</v>
      </c>
      <c r="F325" s="30">
        <f>54.842</f>
        <v>54.841999999999999</v>
      </c>
      <c r="G325" s="99"/>
      <c r="H325" s="30">
        <f>75.0615</f>
        <v>75.061499999999995</v>
      </c>
      <c r="I325" s="152"/>
      <c r="J325" s="132"/>
    </row>
    <row r="326" spans="1:10" ht="14.1" customHeight="1" x14ac:dyDescent="0.25">
      <c r="A326" s="216"/>
      <c r="B326" s="74"/>
      <c r="C326" s="29" t="s">
        <v>11</v>
      </c>
      <c r="D326" s="219"/>
      <c r="E326" s="30">
        <f>21.0735</f>
        <v>21.073499999999999</v>
      </c>
      <c r="F326" s="30">
        <f>21.0735</f>
        <v>21.073499999999999</v>
      </c>
      <c r="G326" s="110"/>
      <c r="H326" s="30">
        <f>23.2849</f>
        <v>23.2849</v>
      </c>
      <c r="I326" s="152"/>
      <c r="J326" s="132"/>
    </row>
    <row r="327" spans="1:10" ht="14.1" customHeight="1" x14ac:dyDescent="0.25">
      <c r="A327" s="216"/>
      <c r="B327" s="74"/>
      <c r="C327" s="263" t="s">
        <v>119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" customHeight="1" x14ac:dyDescent="0.25">
      <c r="A328" s="216"/>
      <c r="B328" s="74"/>
      <c r="C328" s="29" t="s">
        <v>8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" customHeight="1" x14ac:dyDescent="0.25">
      <c r="A329" s="216"/>
      <c r="B329" s="74"/>
      <c r="C329" s="29" t="s">
        <v>11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" customHeight="1" x14ac:dyDescent="0.25">
      <c r="A330" s="216"/>
      <c r="B330" s="74"/>
      <c r="C330" s="277" t="s">
        <v>98</v>
      </c>
      <c r="D330" s="37"/>
      <c r="E330" s="39"/>
      <c r="F330" s="39"/>
      <c r="G330" s="40"/>
      <c r="H330" s="39"/>
      <c r="I330" s="152"/>
      <c r="J330" s="132"/>
    </row>
    <row r="331" spans="1:10" ht="14.1" customHeight="1" x14ac:dyDescent="0.25">
      <c r="A331" s="216"/>
      <c r="B331" s="74"/>
      <c r="C331" s="283" t="s">
        <v>88</v>
      </c>
      <c r="D331" s="41">
        <f>D321+D324+D327</f>
        <v>3361</v>
      </c>
      <c r="E331" s="42">
        <f>E321+E324+E327+E330</f>
        <v>75.915499999999994</v>
      </c>
      <c r="F331" s="42">
        <f>F321+F324+F327+F330</f>
        <v>2260.4901300000001</v>
      </c>
      <c r="G331" s="43">
        <f>SUM(G321:G330)</f>
        <v>1100.5098699999999</v>
      </c>
      <c r="H331" s="42">
        <f>H321+H324+H327+H330</f>
        <v>1485.62473</v>
      </c>
      <c r="I331" s="27"/>
      <c r="J331" s="132"/>
    </row>
    <row r="332" spans="1:10" ht="14.1" customHeight="1" x14ac:dyDescent="0.2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" customHeight="1" x14ac:dyDescent="0.25">
      <c r="A333" s="216"/>
      <c r="B333" s="8"/>
      <c r="C333" s="212"/>
      <c r="D333" s="202"/>
      <c r="E333" s="212"/>
      <c r="F333" s="212"/>
      <c r="G333" s="212"/>
      <c r="H333" s="212"/>
      <c r="I333" s="212"/>
      <c r="J333" s="12"/>
    </row>
    <row r="334" spans="1:10" ht="0" hidden="1" customHeight="1" x14ac:dyDescent="0.25"/>
    <row r="335" spans="1:10" ht="0" hidden="1" customHeight="1" x14ac:dyDescent="0.25"/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16.5" customHeight="1" x14ac:dyDescent="0.25"/>
  </sheetData>
  <mergeCells count="11"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18&amp;R08.05.2023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2023-05-08T08:58:47Z</dcterms:modified>
</cp:coreProperties>
</file>