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O:\"/>
    </mc:Choice>
  </mc:AlternateContent>
  <xr:revisionPtr revIDLastSave="0" documentId="8_{612A1F64-B457-4F62-8045-CC20126CA029}" xr6:coauthVersionLast="47" xr6:coauthVersionMax="47" xr10:uidLastSave="{00000000-0000-0000-0000-000000000000}"/>
  <bookViews>
    <workbookView xWindow="19200" yWindow="0" windowWidth="19200" windowHeight="1560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5" i="1" l="1"/>
  <c r="G345" i="1"/>
  <c r="F345" i="1"/>
  <c r="E345" i="1"/>
  <c r="D345" i="1"/>
  <c r="G344" i="1"/>
  <c r="G343" i="1"/>
  <c r="E336" i="1"/>
  <c r="H324" i="1"/>
  <c r="F324" i="1"/>
  <c r="D324" i="1"/>
  <c r="H323" i="1"/>
  <c r="G323" i="1"/>
  <c r="F323" i="1"/>
  <c r="E323" i="1"/>
  <c r="E324" i="1" s="1"/>
  <c r="H322" i="1"/>
  <c r="G322" i="1"/>
  <c r="G324" i="1" s="1"/>
  <c r="F322" i="1"/>
  <c r="E322" i="1"/>
  <c r="E315" i="1"/>
  <c r="D304" i="1"/>
  <c r="H303" i="1"/>
  <c r="G303" i="1"/>
  <c r="F303" i="1"/>
  <c r="E303" i="1"/>
  <c r="H302" i="1"/>
  <c r="F302" i="1"/>
  <c r="E302" i="1"/>
  <c r="H301" i="1"/>
  <c r="F301" i="1"/>
  <c r="E301" i="1"/>
  <c r="H300" i="1"/>
  <c r="F300" i="1"/>
  <c r="G300" i="1" s="1"/>
  <c r="E300" i="1"/>
  <c r="H299" i="1"/>
  <c r="F299" i="1"/>
  <c r="E299" i="1"/>
  <c r="H298" i="1"/>
  <c r="F298" i="1"/>
  <c r="F297" i="1" s="1"/>
  <c r="G297" i="1" s="1"/>
  <c r="E298" i="1"/>
  <c r="H297" i="1"/>
  <c r="E297" i="1"/>
  <c r="H296" i="1"/>
  <c r="F296" i="1"/>
  <c r="E296" i="1"/>
  <c r="H295" i="1"/>
  <c r="F295" i="1"/>
  <c r="E295" i="1"/>
  <c r="H294" i="1"/>
  <c r="H304" i="1" s="1"/>
  <c r="F294" i="1"/>
  <c r="E294" i="1"/>
  <c r="E304" i="1" s="1"/>
  <c r="D273" i="1"/>
  <c r="I272" i="1"/>
  <c r="G272" i="1"/>
  <c r="H272" i="1" s="1"/>
  <c r="F272" i="1"/>
  <c r="I271" i="1"/>
  <c r="H271" i="1"/>
  <c r="G271" i="1"/>
  <c r="F271" i="1"/>
  <c r="I270" i="1"/>
  <c r="I268" i="1" s="1"/>
  <c r="G270" i="1"/>
  <c r="G268" i="1" s="1"/>
  <c r="H268" i="1" s="1"/>
  <c r="F270" i="1"/>
  <c r="F268" i="1" s="1"/>
  <c r="I269" i="1"/>
  <c r="G269" i="1"/>
  <c r="F269" i="1"/>
  <c r="I267" i="1"/>
  <c r="G267" i="1"/>
  <c r="H267" i="1" s="1"/>
  <c r="F267" i="1"/>
  <c r="I266" i="1"/>
  <c r="G266" i="1"/>
  <c r="H266" i="1" s="1"/>
  <c r="H262" i="1" s="1"/>
  <c r="H273" i="1" s="1"/>
  <c r="F266" i="1"/>
  <c r="I265" i="1"/>
  <c r="I262" i="1" s="1"/>
  <c r="I273" i="1" s="1"/>
  <c r="G265" i="1"/>
  <c r="H265" i="1" s="1"/>
  <c r="F265" i="1"/>
  <c r="I264" i="1"/>
  <c r="G264" i="1"/>
  <c r="H264" i="1" s="1"/>
  <c r="F264" i="1"/>
  <c r="I263" i="1"/>
  <c r="G263" i="1"/>
  <c r="H263" i="1" s="1"/>
  <c r="F263" i="1"/>
  <c r="F262" i="1"/>
  <c r="E262" i="1"/>
  <c r="E273" i="1" s="1"/>
  <c r="D262" i="1"/>
  <c r="H254" i="1"/>
  <c r="F254" i="1"/>
  <c r="D251" i="1"/>
  <c r="D250" i="1"/>
  <c r="F241" i="1"/>
  <c r="G241" i="1" s="1"/>
  <c r="D241" i="1"/>
  <c r="H240" i="1"/>
  <c r="G240" i="1"/>
  <c r="F240" i="1"/>
  <c r="E240" i="1"/>
  <c r="H239" i="1"/>
  <c r="G239" i="1"/>
  <c r="F239" i="1"/>
  <c r="E239" i="1"/>
  <c r="H238" i="1"/>
  <c r="G238" i="1"/>
  <c r="F238" i="1"/>
  <c r="E238" i="1"/>
  <c r="H237" i="1"/>
  <c r="H241" i="1" s="1"/>
  <c r="G237" i="1"/>
  <c r="F237" i="1"/>
  <c r="E237" i="1"/>
  <c r="E241" i="1" s="1"/>
  <c r="D230" i="1"/>
  <c r="D219" i="1"/>
  <c r="H218" i="1"/>
  <c r="F218" i="1"/>
  <c r="G218" i="1" s="1"/>
  <c r="E218" i="1"/>
  <c r="H217" i="1"/>
  <c r="F217" i="1"/>
  <c r="F215" i="1" s="1"/>
  <c r="E217" i="1"/>
  <c r="E215" i="1" s="1"/>
  <c r="E219" i="1" s="1"/>
  <c r="H216" i="1"/>
  <c r="H215" i="1" s="1"/>
  <c r="H219" i="1" s="1"/>
  <c r="F216" i="1"/>
  <c r="E216" i="1"/>
  <c r="D206" i="1"/>
  <c r="H205" i="1"/>
  <c r="F205" i="1"/>
  <c r="G205" i="1" s="1"/>
  <c r="E205" i="1"/>
  <c r="H204" i="1"/>
  <c r="F204" i="1"/>
  <c r="E204" i="1"/>
  <c r="H203" i="1"/>
  <c r="H202" i="1" s="1"/>
  <c r="H206" i="1" s="1"/>
  <c r="F203" i="1"/>
  <c r="E203" i="1"/>
  <c r="F202" i="1"/>
  <c r="G202" i="1" s="1"/>
  <c r="E202" i="1"/>
  <c r="E206" i="1" s="1"/>
  <c r="E192" i="1"/>
  <c r="D192" i="1"/>
  <c r="I191" i="1"/>
  <c r="H191" i="1"/>
  <c r="G191" i="1"/>
  <c r="F191" i="1"/>
  <c r="I190" i="1"/>
  <c r="G190" i="1"/>
  <c r="G192" i="1" s="1"/>
  <c r="F190" i="1"/>
  <c r="I189" i="1"/>
  <c r="I192" i="1" s="1"/>
  <c r="H189" i="1"/>
  <c r="G189" i="1"/>
  <c r="F189" i="1"/>
  <c r="F192" i="1" s="1"/>
  <c r="D169" i="1"/>
  <c r="G169" i="1" s="1"/>
  <c r="H168" i="1"/>
  <c r="F168" i="1"/>
  <c r="G168" i="1" s="1"/>
  <c r="E168" i="1"/>
  <c r="H167" i="1"/>
  <c r="F167" i="1"/>
  <c r="G167" i="1" s="1"/>
  <c r="E167" i="1"/>
  <c r="H166" i="1"/>
  <c r="F166" i="1"/>
  <c r="E166" i="1"/>
  <c r="H165" i="1"/>
  <c r="F165" i="1"/>
  <c r="E165" i="1"/>
  <c r="H164" i="1"/>
  <c r="H163" i="1" s="1"/>
  <c r="F164" i="1"/>
  <c r="F163" i="1" s="1"/>
  <c r="G163" i="1" s="1"/>
  <c r="E164" i="1"/>
  <c r="E163" i="1" s="1"/>
  <c r="H162" i="1"/>
  <c r="H169" i="1" s="1"/>
  <c r="F162" i="1"/>
  <c r="G162" i="1" s="1"/>
  <c r="E162" i="1"/>
  <c r="H161" i="1"/>
  <c r="F161" i="1"/>
  <c r="E161" i="1"/>
  <c r="H160" i="1"/>
  <c r="F160" i="1"/>
  <c r="F169" i="1" s="1"/>
  <c r="E160" i="1"/>
  <c r="E169" i="1" s="1"/>
  <c r="I135" i="1"/>
  <c r="H135" i="1"/>
  <c r="G135" i="1"/>
  <c r="F135" i="1"/>
  <c r="I134" i="1"/>
  <c r="H134" i="1"/>
  <c r="G134" i="1"/>
  <c r="F134" i="1"/>
  <c r="H133" i="1"/>
  <c r="I132" i="1"/>
  <c r="H132" i="1"/>
  <c r="G132" i="1"/>
  <c r="F132" i="1"/>
  <c r="I131" i="1"/>
  <c r="G131" i="1"/>
  <c r="H131" i="1" s="1"/>
  <c r="F131" i="1"/>
  <c r="I130" i="1"/>
  <c r="H130" i="1"/>
  <c r="G130" i="1"/>
  <c r="F130" i="1"/>
  <c r="I129" i="1"/>
  <c r="G129" i="1"/>
  <c r="H129" i="1" s="1"/>
  <c r="F129" i="1"/>
  <c r="I128" i="1"/>
  <c r="H128" i="1"/>
  <c r="G128" i="1"/>
  <c r="F128" i="1"/>
  <c r="I127" i="1"/>
  <c r="G127" i="1"/>
  <c r="H127" i="1" s="1"/>
  <c r="H126" i="1" s="1"/>
  <c r="F127" i="1"/>
  <c r="F126" i="1" s="1"/>
  <c r="F120" i="1" s="1"/>
  <c r="I126" i="1"/>
  <c r="E126" i="1"/>
  <c r="D126" i="1"/>
  <c r="I125" i="1"/>
  <c r="G125" i="1"/>
  <c r="H125" i="1" s="1"/>
  <c r="F125" i="1"/>
  <c r="I124" i="1"/>
  <c r="H124" i="1"/>
  <c r="G124" i="1"/>
  <c r="F124" i="1"/>
  <c r="I123" i="1"/>
  <c r="G123" i="1"/>
  <c r="H123" i="1" s="1"/>
  <c r="H121" i="1" s="1"/>
  <c r="H120" i="1" s="1"/>
  <c r="F123" i="1"/>
  <c r="I122" i="1"/>
  <c r="H122" i="1"/>
  <c r="G122" i="1"/>
  <c r="F122" i="1"/>
  <c r="I121" i="1"/>
  <c r="I120" i="1" s="1"/>
  <c r="G121" i="1"/>
  <c r="F121" i="1"/>
  <c r="E121" i="1"/>
  <c r="D121" i="1"/>
  <c r="D120" i="1" s="1"/>
  <c r="E120" i="1"/>
  <c r="I119" i="1"/>
  <c r="H119" i="1"/>
  <c r="G119" i="1"/>
  <c r="F119" i="1"/>
  <c r="I118" i="1"/>
  <c r="G118" i="1"/>
  <c r="H118" i="1" s="1"/>
  <c r="F118" i="1"/>
  <c r="I117" i="1"/>
  <c r="H117" i="1"/>
  <c r="G117" i="1"/>
  <c r="F117" i="1"/>
  <c r="I116" i="1"/>
  <c r="I115" i="1" s="1"/>
  <c r="G116" i="1"/>
  <c r="G115" i="1" s="1"/>
  <c r="F116" i="1"/>
  <c r="F115" i="1" s="1"/>
  <c r="F137" i="1" s="1"/>
  <c r="E115" i="1"/>
  <c r="E137" i="1" s="1"/>
  <c r="D115" i="1"/>
  <c r="C113" i="1"/>
  <c r="I93" i="1"/>
  <c r="H93" i="1"/>
  <c r="G93" i="1"/>
  <c r="F93" i="1"/>
  <c r="I92" i="1"/>
  <c r="H92" i="1"/>
  <c r="G92" i="1"/>
  <c r="F92" i="1"/>
  <c r="I91" i="1"/>
  <c r="H91" i="1"/>
  <c r="G91" i="1"/>
  <c r="F91" i="1"/>
  <c r="I90" i="1"/>
  <c r="H90" i="1"/>
  <c r="G90" i="1"/>
  <c r="F90" i="1"/>
  <c r="I89" i="1"/>
  <c r="H89" i="1"/>
  <c r="G89" i="1"/>
  <c r="F89" i="1"/>
  <c r="I88" i="1"/>
  <c r="H88" i="1"/>
  <c r="G88" i="1"/>
  <c r="F88" i="1"/>
  <c r="I87" i="1"/>
  <c r="H87" i="1"/>
  <c r="G87" i="1"/>
  <c r="F87" i="1"/>
  <c r="I86" i="1"/>
  <c r="H86" i="1"/>
  <c r="G86" i="1"/>
  <c r="F86" i="1"/>
  <c r="I85" i="1"/>
  <c r="I83" i="1" s="1"/>
  <c r="I82" i="1" s="1"/>
  <c r="H85" i="1"/>
  <c r="H83" i="1" s="1"/>
  <c r="H82" i="1" s="1"/>
  <c r="G85" i="1"/>
  <c r="F85" i="1"/>
  <c r="I84" i="1"/>
  <c r="H84" i="1"/>
  <c r="G84" i="1"/>
  <c r="F84" i="1"/>
  <c r="F83" i="1" s="1"/>
  <c r="F82" i="1" s="1"/>
  <c r="G83" i="1"/>
  <c r="E83" i="1"/>
  <c r="E82" i="1" s="1"/>
  <c r="D83" i="1"/>
  <c r="D82" i="1" s="1"/>
  <c r="G82" i="1"/>
  <c r="I81" i="1"/>
  <c r="H81" i="1"/>
  <c r="G81" i="1"/>
  <c r="F81" i="1"/>
  <c r="I80" i="1"/>
  <c r="I79" i="1" s="1"/>
  <c r="I94" i="1" s="1"/>
  <c r="H80" i="1"/>
  <c r="H79" i="1" s="1"/>
  <c r="G80" i="1"/>
  <c r="G79" i="1" s="1"/>
  <c r="G94" i="1" s="1"/>
  <c r="F80" i="1"/>
  <c r="F79" i="1"/>
  <c r="F94" i="1" s="1"/>
  <c r="E79" i="1"/>
  <c r="D79" i="1"/>
  <c r="C76" i="1"/>
  <c r="H72" i="1"/>
  <c r="F72" i="1"/>
  <c r="D72" i="1"/>
  <c r="H58" i="1"/>
  <c r="H57" i="1"/>
  <c r="I52" i="1"/>
  <c r="I31" i="1" s="1"/>
  <c r="H52" i="1"/>
  <c r="G52" i="1"/>
  <c r="G31" i="1" s="1"/>
  <c r="F52" i="1"/>
  <c r="I41" i="1"/>
  <c r="G41" i="1"/>
  <c r="H41" i="1" s="1"/>
  <c r="F41" i="1"/>
  <c r="I40" i="1"/>
  <c r="G40" i="1"/>
  <c r="H40" i="1" s="1"/>
  <c r="F40" i="1"/>
  <c r="I39" i="1"/>
  <c r="G39" i="1"/>
  <c r="H39" i="1" s="1"/>
  <c r="F39" i="1"/>
  <c r="I38" i="1"/>
  <c r="G38" i="1"/>
  <c r="H38" i="1" s="1"/>
  <c r="F38" i="1"/>
  <c r="I37" i="1"/>
  <c r="G37" i="1"/>
  <c r="H37" i="1" s="1"/>
  <c r="F37" i="1"/>
  <c r="I36" i="1"/>
  <c r="G36" i="1"/>
  <c r="H36" i="1" s="1"/>
  <c r="F36" i="1"/>
  <c r="I35" i="1"/>
  <c r="G35" i="1"/>
  <c r="H35" i="1" s="1"/>
  <c r="F35" i="1"/>
  <c r="I34" i="1"/>
  <c r="G34" i="1"/>
  <c r="H34" i="1" s="1"/>
  <c r="F34" i="1"/>
  <c r="F33" i="1" s="1"/>
  <c r="I33" i="1"/>
  <c r="E33" i="1"/>
  <c r="D33" i="1"/>
  <c r="I32" i="1"/>
  <c r="H32" i="1"/>
  <c r="G32" i="1"/>
  <c r="F32" i="1"/>
  <c r="F31" i="1"/>
  <c r="I30" i="1"/>
  <c r="G30" i="1"/>
  <c r="H30" i="1" s="1"/>
  <c r="F30" i="1"/>
  <c r="I29" i="1"/>
  <c r="H29" i="1"/>
  <c r="G29" i="1"/>
  <c r="F29" i="1"/>
  <c r="I28" i="1"/>
  <c r="H28" i="1"/>
  <c r="G28" i="1"/>
  <c r="F28" i="1"/>
  <c r="I27" i="1"/>
  <c r="H27" i="1"/>
  <c r="G27" i="1"/>
  <c r="F27" i="1"/>
  <c r="E26" i="1"/>
  <c r="E25" i="1" s="1"/>
  <c r="D26" i="1"/>
  <c r="D25" i="1" s="1"/>
  <c r="I24" i="1"/>
  <c r="H24" i="1"/>
  <c r="G24" i="1"/>
  <c r="F24" i="1"/>
  <c r="I23" i="1"/>
  <c r="I22" i="1" s="1"/>
  <c r="H23" i="1"/>
  <c r="H22" i="1" s="1"/>
  <c r="G23" i="1"/>
  <c r="G22" i="1" s="1"/>
  <c r="F23" i="1"/>
  <c r="F22" i="1"/>
  <c r="E22" i="1"/>
  <c r="D22" i="1"/>
  <c r="H16" i="1"/>
  <c r="F16" i="1"/>
  <c r="D16" i="1"/>
  <c r="I26" i="1" l="1"/>
  <c r="F26" i="1"/>
  <c r="F25" i="1" s="1"/>
  <c r="F42" i="1" s="1"/>
  <c r="G215" i="1"/>
  <c r="F219" i="1"/>
  <c r="H33" i="1"/>
  <c r="I137" i="1"/>
  <c r="G120" i="1"/>
  <c r="G137" i="1" s="1"/>
  <c r="I25" i="1"/>
  <c r="I42" i="1" s="1"/>
  <c r="G304" i="1"/>
  <c r="H94" i="1"/>
  <c r="H31" i="1"/>
  <c r="H26" i="1" s="1"/>
  <c r="G26" i="1"/>
  <c r="D94" i="1"/>
  <c r="D137" i="1"/>
  <c r="G219" i="1"/>
  <c r="D42" i="1"/>
  <c r="E94" i="1"/>
  <c r="H192" i="1"/>
  <c r="F304" i="1"/>
  <c r="E42" i="1"/>
  <c r="F273" i="1"/>
  <c r="G33" i="1"/>
  <c r="G126" i="1"/>
  <c r="F206" i="1"/>
  <c r="G206" i="1" s="1"/>
  <c r="H116" i="1"/>
  <c r="H115" i="1" s="1"/>
  <c r="H137" i="1" s="1"/>
  <c r="G262" i="1"/>
  <c r="G273" i="1" s="1"/>
  <c r="H190" i="1"/>
  <c r="G294" i="1"/>
  <c r="G160" i="1"/>
  <c r="H25" i="1" l="1"/>
  <c r="H42" i="1" s="1"/>
  <c r="G25" i="1"/>
  <c r="G42" i="1" s="1"/>
</calcChain>
</file>

<file path=xl/sharedStrings.xml><?xml version="1.0" encoding="utf-8"?>
<sst xmlns="http://schemas.openxmlformats.org/spreadsheetml/2006/main" count="393" uniqueCount="167">
  <si>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</si>
  <si>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</si>
  <si>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</si>
  <si>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</si>
  <si>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</si>
  <si>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</si>
  <si>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</si>
  <si>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</si>
  <si>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</si>
  <si>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</si>
  <si>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</si>
  <si>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</si>
  <si>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</si>
  <si>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</si>
  <si>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</si>
  <si>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</si>
  <si>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</si>
  <si>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</si>
  <si>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</si>
  <si>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</si>
  <si>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</si>
  <si>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</si>
  <si>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</si>
  <si>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</si>
  <si>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</si>
  <si>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</si>
  <si>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</si>
  <si>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</si>
  <si>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</si>
  <si>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</si>
  <si>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</si>
  <si>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</si>
  <si>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</si>
  <si>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</si>
  <si>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</si>
  <si>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</si>
  <si>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</si>
  <si>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</si>
  <si>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</si>
  <si>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</si>
  <si>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</si>
  <si>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</si>
  <si>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</si>
  <si>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</si>
  <si>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</si>
  <si>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</si>
  <si>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</si>
  <si>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</si>
  <si>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</si>
  <si>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</si>
  <si>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</si>
  <si>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</si>
  <si>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</si>
  <si>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</si>
  <si>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</si>
  <si>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</si>
  <si>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</si>
  <si>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</si>
  <si>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</si>
  <si>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</si>
  <si>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</si>
  <si>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</si>
  <si>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</si>
  <si>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</si>
  <si>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</si>
  <si>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</si>
  <si>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</si>
  <si>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</si>
  <si>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</si>
  <si>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</si>
  <si>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</si>
  <si>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</si>
  <si>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</si>
  <si>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</si>
  <si>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</si>
  <si>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</si>
  <si>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</si>
  <si>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</si>
  <si>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</si>
  <si>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</si>
  <si>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</si>
  <si>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</si>
  <si>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</si>
  <si>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</si>
  <si>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</si>
  <si>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</si>
  <si>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</si>
  <si>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</si>
  <si>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</si>
  <si>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</si>
  <si>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</si>
  <si>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</si>
  <si>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</si>
  <si>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</si>
  <si>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</si>
  <si>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</si>
  <si>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</si>
  <si>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</si>
  <si>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</si>
  <si>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</si>
  <si>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</si>
  <si>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</si>
  <si>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</si>
  <si>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</si>
  <si>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</si>
  <si>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</si>
  <si>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</si>
  <si>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</si>
  <si>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</si>
  <si>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</si>
  <si>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</si>
  <si>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</si>
  <si>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</si>
  <si>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</si>
  <si>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</si>
  <si>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</si>
  <si>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</si>
  <si>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</si>
  <si>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</si>
  <si>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</si>
  <si>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</si>
  <si>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</si>
  <si>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</si>
  <si>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t>FANGST AV TORSK, HYSE, SEI, BLÅKVEITE, SNABELUER, LANGE, BROSME OG REKER I 2025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</si>
  <si>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3 093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</si>
  <si>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30.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</si>
  <si>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1 132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</si>
  <si>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146 tonn til forsknings- og undervisningskvoter, 2 000 tonn til fangst innenfor ungdomsfiskeordningen og rekreasjonsfiske, 350 tonn til agnformål og 1 771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</si>
  <si>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458 tonn avsatt til rekrutteringsordningen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</si>
  <si>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</si>
  <si>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2024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</si>
  <si>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</si>
  <si>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5 142 tonn, periodekvote andre periode: 0 tonn, bifangstavsetning: 500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</si>
  <si>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36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</si>
  <si>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14 094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</si>
  <si>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2 755 tonn i Fiskevernsonen ved Svalbard og 3 964 tonn i internasjonalt farvann i Norskehavet. I tillegg er det avsatt 1 000 tonn snabeluer til EU-fartøys fiske.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</si>
  <si>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</si>
  <si>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</si>
  <si>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</si>
  <si>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2024.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</si>
  <si>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</si>
  <si>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</si>
  <si>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</si>
  <si>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321 tonn er overført fra ubenyttet tredjelandskvote til norsk totalkvote, hvorav 100 tonn til konvensjonelle havfiskefartøy og torsketrål , og 221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</si>
  <si>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229 tonn er overført fra ubenyttet tredjelandskvoter til norsk totalkvote, hvorav 773 tonn til torsketrål, 228 til konvensjonelle havfiskefartøy og 228 tonn til lukket gruppe med hjemmelslengde over 11 meter 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</si>
  <si>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</si>
  <si>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</si>
  <si>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</si>
  <si>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</si>
  <si>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</si>
  <si>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</si>
  <si>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</si>
  <si>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</si>
  <si>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</si>
  <si>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</si>
  <si>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</si>
  <si>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</si>
  <si>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</si>
  <si>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2024</t>
    </r>
  </si>
  <si>
    <t>2 Registrert rekreasjonsfiske utgjør 35 tonn, men det legges til grunn at hele avsetningen tas</t>
  </si>
  <si>
    <t>4 Registrert rekreasjonsfiske utgjør 149 tonn, men det legges til grunn at hele avsetningen tas</t>
  </si>
  <si>
    <t>3 Registrert rekreasjonsfiske utgjør 511 tonn, men det legges til grunn at hele avsetningen tas</t>
  </si>
  <si>
    <t>FANGST UKE 24</t>
  </si>
  <si>
    <t>FANGST T.O.M UKE 24</t>
  </si>
  <si>
    <t>RESTKVOTER UKE 24</t>
  </si>
  <si>
    <t>FANGST T.O.M UKE 24 2024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</si>
  <si>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0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</si>
</sst>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b/>
      <sz val="20"/>
      <color theme="4" tint="-0.249977111117893"/>
      <name val="Calibri"/>
      <family val="2"/>
    </font>
    <font>
      <sz val="8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2" borderId="46" xfId="0" applyFont="1" applyFill="1" applyBorder="1" applyAlignment="1">
      <alignment horizontal="center" vertical="center"/>
    </xf>
    <xf numFmtId="0" fontId="27" fillId="0" borderId="0" xfId="0" applyFont="1"/>
    <xf numFmtId="0" fontId="28" fillId="0" borderId="6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/>
    </xf>
    <xf numFmtId="3" fontId="17" fillId="0" borderId="47" xfId="0" applyNumberFormat="1" applyFont="1" applyBorder="1" applyAlignment="1">
      <alignment horizontal="right" vertical="center" wrapText="1"/>
    </xf>
    <xf numFmtId="3" fontId="29" fillId="0" borderId="0" xfId="0" applyNumberFormat="1" applyFont="1"/>
    <xf numFmtId="3" fontId="1" fillId="0" borderId="19" xfId="0" applyNumberFormat="1" applyFont="1" applyBorder="1"/>
    <xf numFmtId="0" fontId="28" fillId="0" borderId="0" xfId="0" applyFont="1" applyAlignment="1">
      <alignment vertical="center"/>
    </xf>
    <xf numFmtId="0" fontId="3" fillId="3" borderId="4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1" fontId="7" fillId="0" borderId="44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9" fontId="1" fillId="0" borderId="22" xfId="0" applyNumberFormat="1" applyFont="1" applyBorder="1"/>
    <xf numFmtId="0" fontId="11" fillId="0" borderId="32" xfId="0" applyFont="1" applyBorder="1" applyAlignment="1">
      <alignment vertical="top" wrapText="1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3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3" fontId="3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30" fillId="0" borderId="48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topLeftCell="A305" zoomScale="112" zoomScaleNormal="55" zoomScaleSheetLayoutView="100" zoomScalePageLayoutView="85" workbookViewId="0">
      <selection activeCell="F312" sqref="F312"/>
    </sheetView>
  </sheetViews>
  <sheetFormatPr baseColWidth="10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327" t="s">
        <v>123</v>
      </c>
      <c r="C2" s="328"/>
      <c r="D2" s="328"/>
      <c r="E2" s="328"/>
      <c r="F2" s="328"/>
      <c r="G2" s="328"/>
      <c r="H2" s="328"/>
      <c r="I2" s="328"/>
      <c r="J2" s="329"/>
    </row>
    <row r="3" spans="1:10" ht="14.85" customHeight="1" x14ac:dyDescent="0.25">
      <c r="A3" s="1"/>
      <c r="B3" s="1"/>
      <c r="C3" s="1" t="s">
        <v>112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112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112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112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112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30"/>
      <c r="C9" s="331"/>
      <c r="D9" s="331"/>
      <c r="E9" s="331"/>
      <c r="F9" s="331"/>
      <c r="G9" s="331"/>
      <c r="H9" s="331"/>
      <c r="I9" s="331"/>
      <c r="J9" s="332"/>
    </row>
    <row r="10" spans="1:10" ht="12" customHeight="1" x14ac:dyDescent="0.25">
      <c r="A10" s="1"/>
      <c r="B10" s="277"/>
      <c r="C10" s="1"/>
      <c r="D10" s="1"/>
      <c r="E10" s="1"/>
      <c r="F10" s="1"/>
      <c r="G10" s="1"/>
      <c r="H10" s="1"/>
      <c r="I10" s="1"/>
      <c r="J10" s="117"/>
    </row>
    <row r="11" spans="1:10" ht="14.1" customHeight="1" x14ac:dyDescent="0.25">
      <c r="A11" s="152"/>
      <c r="B11" s="50"/>
      <c r="C11" s="324" t="s">
        <v>1</v>
      </c>
      <c r="D11" s="325"/>
      <c r="E11" s="324" t="s">
        <v>2</v>
      </c>
      <c r="F11" s="325"/>
      <c r="G11" s="324" t="s">
        <v>3</v>
      </c>
      <c r="H11" s="325"/>
      <c r="I11" s="173"/>
      <c r="J11" s="267"/>
    </row>
    <row r="12" spans="1:10" ht="14.1" customHeight="1" x14ac:dyDescent="0.25">
      <c r="A12" s="1"/>
      <c r="B12" s="277"/>
      <c r="C12" s="96"/>
      <c r="D12" s="96"/>
      <c r="E12" s="96" t="s">
        <v>4</v>
      </c>
      <c r="F12" s="109">
        <v>38790</v>
      </c>
      <c r="G12" s="110" t="s">
        <v>5</v>
      </c>
      <c r="H12" s="109">
        <v>12692</v>
      </c>
      <c r="I12" s="173"/>
      <c r="J12" s="267"/>
    </row>
    <row r="13" spans="1:10" ht="15.75" customHeight="1" x14ac:dyDescent="0.25">
      <c r="A13" s="1"/>
      <c r="B13" s="277"/>
      <c r="C13" s="110" t="s">
        <v>83</v>
      </c>
      <c r="D13" s="114">
        <v>163436</v>
      </c>
      <c r="E13" s="110" t="s">
        <v>7</v>
      </c>
      <c r="F13" s="114">
        <v>109569</v>
      </c>
      <c r="G13" s="110" t="s">
        <v>8</v>
      </c>
      <c r="H13" s="114">
        <v>78171</v>
      </c>
      <c r="I13" s="173"/>
      <c r="J13" s="267"/>
    </row>
    <row r="14" spans="1:10" ht="14.25" customHeight="1" x14ac:dyDescent="0.25">
      <c r="A14" s="1"/>
      <c r="B14" s="277"/>
      <c r="C14" s="110" t="s">
        <v>9</v>
      </c>
      <c r="D14" s="114">
        <v>151436</v>
      </c>
      <c r="E14" s="110" t="s">
        <v>10</v>
      </c>
      <c r="F14" s="114">
        <v>15398</v>
      </c>
      <c r="G14" s="110" t="s">
        <v>11</v>
      </c>
      <c r="H14" s="114">
        <v>9874</v>
      </c>
      <c r="I14" s="173"/>
      <c r="J14" s="267"/>
    </row>
    <row r="15" spans="1:10" ht="15.75" customHeight="1" x14ac:dyDescent="0.25">
      <c r="A15" s="1"/>
      <c r="B15" s="277"/>
      <c r="C15" s="110" t="s">
        <v>73</v>
      </c>
      <c r="D15" s="114">
        <v>46128</v>
      </c>
      <c r="E15" s="161"/>
      <c r="F15" s="215"/>
      <c r="G15" s="161" t="s">
        <v>12</v>
      </c>
      <c r="H15" s="215">
        <v>8832</v>
      </c>
      <c r="I15" s="173"/>
      <c r="J15" s="267"/>
    </row>
    <row r="16" spans="1:10" ht="14.1" customHeight="1" x14ac:dyDescent="0.25">
      <c r="A16" s="1"/>
      <c r="B16" s="277"/>
      <c r="C16" s="172" t="s">
        <v>13</v>
      </c>
      <c r="D16" s="184">
        <f>SUM(D13:D15)</f>
        <v>361000</v>
      </c>
      <c r="E16" s="172" t="s">
        <v>14</v>
      </c>
      <c r="F16" s="184">
        <f>SUM(F12:F15)</f>
        <v>163757</v>
      </c>
      <c r="G16" s="172" t="s">
        <v>7</v>
      </c>
      <c r="H16" s="184">
        <f>SUM(H12:H15)</f>
        <v>109569</v>
      </c>
      <c r="J16" s="267"/>
    </row>
    <row r="17" spans="1:10" x14ac:dyDescent="0.25">
      <c r="A17" s="101"/>
      <c r="B17" s="24"/>
      <c r="C17" s="317" t="s">
        <v>143</v>
      </c>
      <c r="D17" s="317"/>
      <c r="E17" s="317"/>
      <c r="F17" s="317"/>
      <c r="G17" s="317"/>
      <c r="H17" s="317"/>
      <c r="I17" s="101"/>
      <c r="J17" s="157"/>
    </row>
    <row r="18" spans="1:10" ht="15" customHeight="1" x14ac:dyDescent="0.25">
      <c r="A18" s="1"/>
      <c r="B18" s="277"/>
      <c r="C18" s="216"/>
      <c r="D18" s="216"/>
      <c r="E18" s="217"/>
      <c r="F18" s="216"/>
      <c r="G18" s="216"/>
      <c r="H18" s="216"/>
      <c r="I18" s="216"/>
      <c r="J18" s="312"/>
    </row>
    <row r="19" spans="1:10" ht="15" customHeight="1" x14ac:dyDescent="0.25">
      <c r="A19" s="1"/>
      <c r="B19" s="277"/>
      <c r="C19" s="17" t="s">
        <v>15</v>
      </c>
      <c r="D19" s="216"/>
      <c r="E19" s="217"/>
      <c r="F19" s="216"/>
      <c r="G19" s="216"/>
      <c r="H19" s="196"/>
      <c r="I19" s="216"/>
      <c r="J19" s="312"/>
    </row>
    <row r="20" spans="1:10" ht="12" customHeight="1" x14ac:dyDescent="0.25">
      <c r="A20" s="1"/>
      <c r="B20" s="277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2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162</v>
      </c>
      <c r="G21" s="68" t="s">
        <v>163</v>
      </c>
      <c r="H21" s="68" t="s">
        <v>164</v>
      </c>
      <c r="I21" s="68" t="s">
        <v>165</v>
      </c>
      <c r="J21" s="301"/>
    </row>
    <row r="22" spans="1:10" ht="14.1" customHeight="1" x14ac:dyDescent="0.25">
      <c r="A22" s="1"/>
      <c r="B22" s="277"/>
      <c r="C22" s="15" t="s">
        <v>19</v>
      </c>
      <c r="D22" s="27">
        <f>D23+D24</f>
        <v>38790</v>
      </c>
      <c r="E22" s="27">
        <f>E23+E24</f>
        <v>41586</v>
      </c>
      <c r="F22" s="27">
        <f t="shared" ref="F22:I22" si="0">F24+F23</f>
        <v>430.03441000000004</v>
      </c>
      <c r="G22" s="27">
        <f t="shared" si="0"/>
        <v>19839.52636</v>
      </c>
      <c r="H22" s="10">
        <f t="shared" si="0"/>
        <v>21746.47364</v>
      </c>
      <c r="I22" s="10">
        <f t="shared" si="0"/>
        <v>36574.499279999996</v>
      </c>
      <c r="J22" s="267"/>
    </row>
    <row r="23" spans="1:10" ht="14.1" customHeight="1" x14ac:dyDescent="0.25">
      <c r="A23" s="1"/>
      <c r="B23" s="277"/>
      <c r="C23" s="43" t="s">
        <v>20</v>
      </c>
      <c r="D23" s="44">
        <v>38040</v>
      </c>
      <c r="E23" s="44">
        <v>40823</v>
      </c>
      <c r="F23" s="22">
        <f>429.68641</f>
        <v>429.68641000000002</v>
      </c>
      <c r="G23" s="22">
        <f>19528.30471</f>
        <v>19528.30471</v>
      </c>
      <c r="H23" s="22">
        <f>E23-G23</f>
        <v>21294.69529</v>
      </c>
      <c r="I23" s="22">
        <f>36083.0217</f>
        <v>36083.021699999998</v>
      </c>
      <c r="J23" s="267"/>
    </row>
    <row r="24" spans="1:10" ht="14.1" customHeight="1" x14ac:dyDescent="0.25">
      <c r="A24" s="1"/>
      <c r="B24" s="277"/>
      <c r="C24" s="47" t="s">
        <v>21</v>
      </c>
      <c r="D24" s="218">
        <v>750</v>
      </c>
      <c r="E24" s="218">
        <v>763</v>
      </c>
      <c r="F24" s="165">
        <f>0.348</f>
        <v>0.34799999999999998</v>
      </c>
      <c r="G24" s="22">
        <f>311.22165</f>
        <v>311.22165000000001</v>
      </c>
      <c r="H24" s="22">
        <f>E24-G24</f>
        <v>451.77834999999999</v>
      </c>
      <c r="I24" s="22">
        <f>491.47758</f>
        <v>491.47757999999999</v>
      </c>
      <c r="J24" s="267"/>
    </row>
    <row r="25" spans="1:10" ht="14.1" customHeight="1" x14ac:dyDescent="0.25">
      <c r="A25" s="1"/>
      <c r="B25" s="277"/>
      <c r="C25" s="15" t="s">
        <v>22</v>
      </c>
      <c r="D25" s="27">
        <f>D26+D32+D33</f>
        <v>112662</v>
      </c>
      <c r="E25" s="27">
        <f>E26+E32+E33</f>
        <v>121668</v>
      </c>
      <c r="F25" s="27">
        <f t="shared" ref="F25:I25" si="1">F33+F32+F26</f>
        <v>511.75851999999998</v>
      </c>
      <c r="G25" s="10">
        <f t="shared" si="1"/>
        <v>96782.40492999999</v>
      </c>
      <c r="H25" s="10">
        <f t="shared" si="1"/>
        <v>24885.595069999999</v>
      </c>
      <c r="I25" s="10">
        <f t="shared" si="1"/>
        <v>115648.99197999999</v>
      </c>
      <c r="J25" s="267"/>
    </row>
    <row r="26" spans="1:10" ht="15" customHeight="1" x14ac:dyDescent="0.25">
      <c r="A26" s="49"/>
      <c r="B26" s="51"/>
      <c r="C26" s="54" t="s">
        <v>23</v>
      </c>
      <c r="D26" s="55">
        <f>D27+D28+D29+D30+D31</f>
        <v>89136</v>
      </c>
      <c r="E26" s="55">
        <f>E27+E28+E29+E30+E31</f>
        <v>94893</v>
      </c>
      <c r="F26" s="129">
        <f>F27+F28+F29+F30+F31</f>
        <v>289.04300999999998</v>
      </c>
      <c r="G26" s="129">
        <f>G27+G28+G29+G30+G31</f>
        <v>76238.079719999994</v>
      </c>
      <c r="H26" s="129">
        <f t="shared" ref="H26:I26" si="2">H27+H28+H29+H30+H31</f>
        <v>18654.920279999998</v>
      </c>
      <c r="I26" s="129">
        <f t="shared" si="2"/>
        <v>91947.609089999998</v>
      </c>
      <c r="J26" s="267"/>
    </row>
    <row r="27" spans="1:10" ht="14.1" customHeight="1" x14ac:dyDescent="0.25">
      <c r="A27" s="192"/>
      <c r="B27" s="176"/>
      <c r="C27" s="60" t="s">
        <v>24</v>
      </c>
      <c r="D27" s="61">
        <v>22698</v>
      </c>
      <c r="E27" s="61">
        <v>25153</v>
      </c>
      <c r="F27" s="209">
        <f>98.26932 - F55</f>
        <v>98.269319999999993</v>
      </c>
      <c r="G27" s="123">
        <f>22240.81571 - G55</f>
        <v>22240.815709999999</v>
      </c>
      <c r="H27" s="123">
        <f t="shared" ref="H27:H39" si="3">E27-G27</f>
        <v>2912.1842900000011</v>
      </c>
      <c r="I27" s="123">
        <f>25255.33673 - I55</f>
        <v>25255.336729999999</v>
      </c>
      <c r="J27" s="63"/>
    </row>
    <row r="28" spans="1:10" ht="14.1" customHeight="1" x14ac:dyDescent="0.25">
      <c r="A28" s="192"/>
      <c r="B28" s="176"/>
      <c r="C28" s="60" t="s">
        <v>25</v>
      </c>
      <c r="D28" s="61">
        <v>22717</v>
      </c>
      <c r="E28" s="61">
        <v>23994</v>
      </c>
      <c r="F28" s="123">
        <f>76.78541 - F56</f>
        <v>76.785409999999999</v>
      </c>
      <c r="G28" s="123">
        <f>21687.05127 - G56</f>
        <v>21687.05127</v>
      </c>
      <c r="H28" s="123">
        <f t="shared" si="3"/>
        <v>2306.9487300000001</v>
      </c>
      <c r="I28" s="123">
        <f>26616.70416 - I56</f>
        <v>26616.704160000001</v>
      </c>
      <c r="J28" s="63"/>
    </row>
    <row r="29" spans="1:10" ht="14.1" customHeight="1" x14ac:dyDescent="0.25">
      <c r="A29" s="192"/>
      <c r="B29" s="176"/>
      <c r="C29" s="60" t="s">
        <v>26</v>
      </c>
      <c r="D29" s="61">
        <v>20660</v>
      </c>
      <c r="E29" s="61">
        <v>21870</v>
      </c>
      <c r="F29" s="123">
        <f>75.10226 - F57</f>
        <v>75.102260000000001</v>
      </c>
      <c r="G29" s="123">
        <f>20314.74061 - G57</f>
        <v>20314.740610000001</v>
      </c>
      <c r="H29" s="123">
        <f t="shared" si="3"/>
        <v>1555.2593899999993</v>
      </c>
      <c r="I29" s="123">
        <f>24645.07852 - I57</f>
        <v>24645.078519999999</v>
      </c>
      <c r="J29" s="63"/>
    </row>
    <row r="30" spans="1:10" ht="14.1" customHeight="1" x14ac:dyDescent="0.25">
      <c r="A30" s="192"/>
      <c r="B30" s="176"/>
      <c r="C30" s="60" t="s">
        <v>27</v>
      </c>
      <c r="D30" s="61">
        <v>15189</v>
      </c>
      <c r="E30" s="61">
        <v>15645</v>
      </c>
      <c r="F30" s="123">
        <f>65.88602 - F58</f>
        <v>38.886020000000002</v>
      </c>
      <c r="G30" s="123">
        <f>13811.47213 - G58</f>
        <v>11995.47213</v>
      </c>
      <c r="H30" s="123">
        <f t="shared" si="3"/>
        <v>3649.5278699999999</v>
      </c>
      <c r="I30" s="123">
        <f>17983.48968 - I58</f>
        <v>15430.489679999999</v>
      </c>
      <c r="J30" s="63"/>
    </row>
    <row r="31" spans="1:10" ht="14.1" customHeight="1" x14ac:dyDescent="0.25">
      <c r="A31" s="192"/>
      <c r="B31" s="176"/>
      <c r="C31" s="60" t="s">
        <v>28</v>
      </c>
      <c r="D31" s="61">
        <v>7872</v>
      </c>
      <c r="E31" s="61">
        <v>8231</v>
      </c>
      <c r="F31" s="123">
        <f>F52</f>
        <v>0</v>
      </c>
      <c r="G31" s="123">
        <f>G52</f>
        <v>0</v>
      </c>
      <c r="H31" s="123">
        <f>E31-G31</f>
        <v>8231</v>
      </c>
      <c r="I31" s="123">
        <f>I52</f>
        <v>0</v>
      </c>
      <c r="J31" s="63"/>
    </row>
    <row r="32" spans="1:10" ht="14.1" customHeight="1" x14ac:dyDescent="0.25">
      <c r="A32" s="64"/>
      <c r="B32" s="51"/>
      <c r="C32" s="54" t="s">
        <v>29</v>
      </c>
      <c r="D32" s="55">
        <v>12692</v>
      </c>
      <c r="E32" s="55">
        <v>13679</v>
      </c>
      <c r="F32" s="129">
        <f>132.16741</f>
        <v>132.16740999999999</v>
      </c>
      <c r="G32" s="129">
        <f>8072.91462</f>
        <v>8072.9146199999996</v>
      </c>
      <c r="H32" s="129">
        <f t="shared" si="3"/>
        <v>5606.0853800000004</v>
      </c>
      <c r="I32" s="129">
        <f>9829.4343</f>
        <v>9829.4343000000008</v>
      </c>
      <c r="J32" s="63"/>
    </row>
    <row r="33" spans="1:10" ht="14.1" customHeight="1" x14ac:dyDescent="0.25">
      <c r="A33" s="64"/>
      <c r="B33" s="51"/>
      <c r="C33" s="54" t="s">
        <v>30</v>
      </c>
      <c r="D33" s="55">
        <f>D34+D35</f>
        <v>10834</v>
      </c>
      <c r="E33" s="55">
        <f>E34+E35</f>
        <v>13096</v>
      </c>
      <c r="F33" s="129">
        <f>F34+F35</f>
        <v>90.548100000000005</v>
      </c>
      <c r="G33" s="129">
        <f>G34+G35</f>
        <v>12471.41059</v>
      </c>
      <c r="H33" s="129">
        <f t="shared" si="3"/>
        <v>624.5894100000005</v>
      </c>
      <c r="I33" s="129">
        <f>I34+I35</f>
        <v>13871.94859</v>
      </c>
      <c r="J33" s="63"/>
    </row>
    <row r="34" spans="1:10" ht="14.1" customHeight="1" x14ac:dyDescent="0.25">
      <c r="A34" s="192"/>
      <c r="B34" s="176"/>
      <c r="C34" s="60" t="s">
        <v>31</v>
      </c>
      <c r="D34" s="61">
        <v>9874</v>
      </c>
      <c r="E34" s="61">
        <v>12136</v>
      </c>
      <c r="F34" s="123">
        <f>90.5481 - F59 - F60</f>
        <v>90.548100000000005</v>
      </c>
      <c r="G34" s="129">
        <f>12471.41059 - G59 - G60</f>
        <v>12471.41059</v>
      </c>
      <c r="H34" s="123">
        <f t="shared" si="3"/>
        <v>-335.4105899999995</v>
      </c>
      <c r="I34" s="123">
        <f>13871.94859 - I59 - I60</f>
        <v>13871.94859</v>
      </c>
      <c r="J34" s="63"/>
    </row>
    <row r="35" spans="1:10" ht="14.1" customHeight="1" x14ac:dyDescent="0.25">
      <c r="A35" s="192"/>
      <c r="B35" s="176"/>
      <c r="C35" s="66" t="s">
        <v>32</v>
      </c>
      <c r="D35" s="220">
        <v>960</v>
      </c>
      <c r="E35" s="220">
        <v>960</v>
      </c>
      <c r="F35" s="67">
        <f>F57</f>
        <v>0</v>
      </c>
      <c r="G35" s="67">
        <f>G57</f>
        <v>0</v>
      </c>
      <c r="H35" s="67">
        <f t="shared" si="3"/>
        <v>960</v>
      </c>
      <c r="I35" s="67">
        <f>I57</f>
        <v>0</v>
      </c>
      <c r="J35" s="63"/>
    </row>
    <row r="36" spans="1:10" ht="15.75" customHeight="1" x14ac:dyDescent="0.25">
      <c r="A36" s="1"/>
      <c r="B36" s="277"/>
      <c r="C36" s="70" t="s">
        <v>33</v>
      </c>
      <c r="D36" s="140">
        <v>1000</v>
      </c>
      <c r="E36" s="140">
        <v>1000</v>
      </c>
      <c r="F36" s="136">
        <f>0</f>
        <v>0</v>
      </c>
      <c r="G36" s="136">
        <f>265.2668</f>
        <v>265.26679999999999</v>
      </c>
      <c r="H36" s="136">
        <f t="shared" si="3"/>
        <v>734.73320000000001</v>
      </c>
      <c r="I36" s="136">
        <f>348.3612</f>
        <v>348.3612</v>
      </c>
      <c r="J36" s="267"/>
    </row>
    <row r="37" spans="1:10" ht="14.1" customHeight="1" x14ac:dyDescent="0.25">
      <c r="A37" s="1"/>
      <c r="B37" s="277"/>
      <c r="C37" s="70" t="s">
        <v>34</v>
      </c>
      <c r="D37" s="140">
        <v>855</v>
      </c>
      <c r="E37" s="140">
        <v>855</v>
      </c>
      <c r="F37" s="95">
        <f>6.56144</f>
        <v>6.5614400000000002</v>
      </c>
      <c r="G37" s="95">
        <f>539.24825</f>
        <v>539.24824999999998</v>
      </c>
      <c r="H37" s="95">
        <f t="shared" si="3"/>
        <v>315.75175000000002</v>
      </c>
      <c r="I37" s="95">
        <f>458.59817</f>
        <v>458.59816999999998</v>
      </c>
      <c r="J37" s="267"/>
    </row>
    <row r="38" spans="1:10" ht="17.25" customHeight="1" x14ac:dyDescent="0.25">
      <c r="A38" s="1"/>
      <c r="B38" s="277"/>
      <c r="C38" s="70" t="s">
        <v>35</v>
      </c>
      <c r="D38" s="140">
        <v>3000</v>
      </c>
      <c r="E38" s="140">
        <v>3000</v>
      </c>
      <c r="F38" s="95">
        <f>F58</f>
        <v>27</v>
      </c>
      <c r="G38" s="95">
        <f>G58</f>
        <v>1816</v>
      </c>
      <c r="H38" s="95">
        <f t="shared" si="3"/>
        <v>1184</v>
      </c>
      <c r="I38" s="95">
        <f>I58</f>
        <v>2553</v>
      </c>
      <c r="J38" s="267"/>
    </row>
    <row r="39" spans="1:10" ht="17.25" customHeight="1" x14ac:dyDescent="0.25">
      <c r="A39" s="1"/>
      <c r="B39" s="277"/>
      <c r="C39" s="70" t="s">
        <v>36</v>
      </c>
      <c r="D39" s="140">
        <v>7000</v>
      </c>
      <c r="E39" s="140">
        <v>7000</v>
      </c>
      <c r="F39" s="95">
        <f>7.86937</f>
        <v>7.86937</v>
      </c>
      <c r="G39" s="95">
        <f>E39</f>
        <v>7000</v>
      </c>
      <c r="H39" s="95">
        <f t="shared" si="3"/>
        <v>0</v>
      </c>
      <c r="I39" s="95">
        <f>E39</f>
        <v>7000</v>
      </c>
      <c r="J39" s="267"/>
    </row>
    <row r="40" spans="1:10" ht="17.25" customHeight="1" x14ac:dyDescent="0.25">
      <c r="A40" s="1"/>
      <c r="B40" s="277"/>
      <c r="C40" s="70" t="s">
        <v>38</v>
      </c>
      <c r="D40" s="140">
        <v>450</v>
      </c>
      <c r="E40" s="140">
        <v>450</v>
      </c>
      <c r="F40" s="95">
        <f>1.0134</f>
        <v>1.0134000000000001</v>
      </c>
      <c r="G40" s="95">
        <f>363.45802</f>
        <v>363.45801999999998</v>
      </c>
      <c r="H40" s="95">
        <f>E40-G40</f>
        <v>86.541980000000024</v>
      </c>
      <c r="I40" s="95">
        <f>317.69341</f>
        <v>317.69340999999997</v>
      </c>
      <c r="J40" s="267"/>
    </row>
    <row r="41" spans="1:10" ht="14.1" customHeight="1" x14ac:dyDescent="0.25">
      <c r="A41" s="1"/>
      <c r="B41" s="277"/>
      <c r="C41" s="70" t="s">
        <v>39</v>
      </c>
      <c r="D41" s="140"/>
      <c r="E41" s="136"/>
      <c r="F41" s="136">
        <f>0</f>
        <v>0</v>
      </c>
      <c r="G41" s="136">
        <f>66.65513</f>
        <v>66.65513</v>
      </c>
      <c r="H41" s="136">
        <f t="shared" ref="H41" si="4">E41-G41</f>
        <v>-66.65513</v>
      </c>
      <c r="I41" s="136">
        <f>85.43626</f>
        <v>85.436260000000004</v>
      </c>
      <c r="J41" s="267"/>
    </row>
    <row r="42" spans="1:10" ht="16.5" customHeight="1" x14ac:dyDescent="0.25">
      <c r="A42" s="1"/>
      <c r="B42" s="277"/>
      <c r="C42" s="71" t="s">
        <v>40</v>
      </c>
      <c r="D42" s="73">
        <f>D22+D25+D36+D37+D38+D39+D40+D41</f>
        <v>163757</v>
      </c>
      <c r="E42" s="73">
        <f>E22+E25+E36+E37+E38+E39+E40+E41</f>
        <v>175559</v>
      </c>
      <c r="F42" s="73">
        <f t="shared" ref="F42:I42" si="5">F22+F25+F36+F37+F38+F39+F40+F41</f>
        <v>984.23714000000007</v>
      </c>
      <c r="G42" s="73">
        <f t="shared" si="5"/>
        <v>126672.55949</v>
      </c>
      <c r="H42" s="73">
        <f t="shared" si="5"/>
        <v>48886.440510000008</v>
      </c>
      <c r="I42" s="73">
        <f t="shared" si="5"/>
        <v>162986.5803</v>
      </c>
      <c r="J42" s="267"/>
    </row>
    <row r="43" spans="1:10" ht="14.1" customHeight="1" x14ac:dyDescent="0.25">
      <c r="A43" s="101"/>
      <c r="B43" s="24"/>
      <c r="C43" s="74" t="s">
        <v>124</v>
      </c>
      <c r="D43" s="216"/>
      <c r="E43" s="216"/>
      <c r="F43" s="76"/>
      <c r="G43" s="76"/>
      <c r="H43" s="251"/>
      <c r="I43" s="251"/>
      <c r="J43" s="77"/>
    </row>
    <row r="44" spans="1:10" ht="14.1" customHeight="1" x14ac:dyDescent="0.25">
      <c r="A44" s="101"/>
      <c r="B44" s="24"/>
      <c r="C44" s="78" t="s">
        <v>41</v>
      </c>
      <c r="D44" s="216"/>
      <c r="E44" s="216"/>
      <c r="F44" s="216"/>
      <c r="G44" s="76"/>
      <c r="H44" s="173"/>
      <c r="I44" s="173"/>
      <c r="J44" s="267"/>
    </row>
    <row r="45" spans="1:10" ht="14.1" customHeight="1" x14ac:dyDescent="0.25">
      <c r="A45" s="101"/>
      <c r="B45" s="24"/>
      <c r="C45" s="156" t="s">
        <v>161</v>
      </c>
      <c r="D45" s="216"/>
      <c r="E45" s="216"/>
      <c r="F45" s="216"/>
      <c r="G45" s="76"/>
      <c r="H45" s="173"/>
      <c r="I45" s="173"/>
      <c r="J45" s="117"/>
    </row>
    <row r="46" spans="1:10" ht="14.1" customHeight="1" x14ac:dyDescent="0.25">
      <c r="A46" s="101"/>
      <c r="B46" s="24"/>
      <c r="C46" s="156" t="s">
        <v>139</v>
      </c>
      <c r="D46" s="216"/>
      <c r="E46" s="216"/>
      <c r="F46" s="216"/>
      <c r="G46" s="216"/>
      <c r="H46" s="173"/>
      <c r="I46" s="173"/>
      <c r="J46" s="117"/>
    </row>
    <row r="47" spans="1:10" ht="14.1" customHeight="1" x14ac:dyDescent="0.25">
      <c r="A47" s="101"/>
      <c r="B47" s="24"/>
      <c r="C47" s="101" t="s">
        <v>42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25">
      <c r="A48" s="101"/>
      <c r="B48" s="264"/>
      <c r="C48" s="294"/>
      <c r="D48" s="294"/>
      <c r="E48" s="106"/>
      <c r="F48" s="294"/>
      <c r="G48" s="294"/>
      <c r="H48" s="294"/>
      <c r="I48" s="294"/>
      <c r="J48" s="178"/>
    </row>
    <row r="49" spans="1:10" ht="33" customHeight="1" x14ac:dyDescent="0.25">
      <c r="A49" s="101"/>
      <c r="B49" s="24"/>
      <c r="C49" s="320" t="s">
        <v>43</v>
      </c>
      <c r="D49" s="320"/>
      <c r="E49" s="320"/>
      <c r="F49" s="320"/>
      <c r="G49" s="320"/>
      <c r="H49" s="320"/>
      <c r="I49" s="80"/>
      <c r="J49" s="81"/>
    </row>
    <row r="50" spans="1:10" ht="16.5" customHeight="1" x14ac:dyDescent="0.2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25">
      <c r="A51" s="101"/>
      <c r="B51" s="24"/>
      <c r="C51" s="83" t="s">
        <v>16</v>
      </c>
      <c r="D51" s="68" t="s">
        <v>44</v>
      </c>
      <c r="E51" s="68" t="s">
        <v>121</v>
      </c>
      <c r="F51" s="68" t="s">
        <v>162</v>
      </c>
      <c r="G51" s="68" t="s">
        <v>163</v>
      </c>
      <c r="H51" s="68" t="s">
        <v>164</v>
      </c>
      <c r="I51" s="68" t="s">
        <v>165</v>
      </c>
      <c r="J51" s="267"/>
    </row>
    <row r="52" spans="1:10" ht="14.1" customHeight="1" x14ac:dyDescent="0.25">
      <c r="A52" s="101"/>
      <c r="B52" s="24"/>
      <c r="C52" s="15" t="s">
        <v>45</v>
      </c>
      <c r="D52" s="321">
        <v>7872</v>
      </c>
      <c r="E52" s="321">
        <v>8231</v>
      </c>
      <c r="F52" s="10">
        <f>F56+F55+F54+F53</f>
        <v>0</v>
      </c>
      <c r="G52" s="10">
        <f>G56+G55+G54+G53</f>
        <v>0</v>
      </c>
      <c r="H52" s="321">
        <f>E52-G52</f>
        <v>8231</v>
      </c>
      <c r="I52" s="10">
        <f>I56+I55+I54+I53</f>
        <v>0</v>
      </c>
      <c r="J52" s="117"/>
    </row>
    <row r="53" spans="1:10" ht="14.1" customHeight="1" x14ac:dyDescent="0.25">
      <c r="A53" s="101"/>
      <c r="B53" s="24"/>
      <c r="C53" s="60" t="s">
        <v>24</v>
      </c>
      <c r="D53" s="322"/>
      <c r="E53" s="322"/>
      <c r="F53" s="123"/>
      <c r="G53" s="123"/>
      <c r="H53" s="322"/>
      <c r="I53" s="123"/>
      <c r="J53" s="117"/>
    </row>
    <row r="54" spans="1:10" ht="14.1" customHeight="1" x14ac:dyDescent="0.25">
      <c r="A54" s="101"/>
      <c r="B54" s="24"/>
      <c r="C54" s="60" t="s">
        <v>25</v>
      </c>
      <c r="D54" s="322"/>
      <c r="E54" s="322"/>
      <c r="F54" s="123"/>
      <c r="G54" s="123"/>
      <c r="H54" s="322"/>
      <c r="I54" s="123"/>
      <c r="J54" s="267"/>
    </row>
    <row r="55" spans="1:10" ht="14.1" customHeight="1" x14ac:dyDescent="0.25">
      <c r="A55" s="101"/>
      <c r="B55" s="24"/>
      <c r="C55" s="60" t="s">
        <v>26</v>
      </c>
      <c r="D55" s="322"/>
      <c r="E55" s="322"/>
      <c r="F55" s="123"/>
      <c r="G55" s="123"/>
      <c r="H55" s="322"/>
      <c r="I55" s="123"/>
      <c r="J55" s="117"/>
    </row>
    <row r="56" spans="1:10" ht="14.1" customHeight="1" x14ac:dyDescent="0.25">
      <c r="A56" s="101"/>
      <c r="B56" s="24"/>
      <c r="C56" s="84" t="s">
        <v>27</v>
      </c>
      <c r="D56" s="323"/>
      <c r="E56" s="323"/>
      <c r="F56" s="186"/>
      <c r="G56" s="186"/>
      <c r="H56" s="323"/>
      <c r="I56" s="186"/>
      <c r="J56" s="117"/>
    </row>
    <row r="57" spans="1:10" ht="14.1" customHeight="1" x14ac:dyDescent="0.25">
      <c r="A57" s="101"/>
      <c r="B57" s="24"/>
      <c r="C57" s="85" t="s">
        <v>46</v>
      </c>
      <c r="D57" s="92">
        <v>960</v>
      </c>
      <c r="E57" s="92">
        <v>960</v>
      </c>
      <c r="F57" s="92"/>
      <c r="G57" s="92"/>
      <c r="H57" s="92">
        <f>E57-G57</f>
        <v>960</v>
      </c>
      <c r="I57" s="92"/>
      <c r="J57" s="267"/>
    </row>
    <row r="58" spans="1:10" ht="14.1" customHeight="1" x14ac:dyDescent="0.25">
      <c r="A58" s="101"/>
      <c r="B58" s="24"/>
      <c r="C58" s="139" t="s">
        <v>47</v>
      </c>
      <c r="D58" s="136">
        <v>3000</v>
      </c>
      <c r="E58" s="136">
        <v>3000</v>
      </c>
      <c r="F58" s="136">
        <v>27</v>
      </c>
      <c r="G58" s="136">
        <v>1816</v>
      </c>
      <c r="H58" s="136">
        <f>E58-G58</f>
        <v>1184</v>
      </c>
      <c r="I58" s="136">
        <v>2553</v>
      </c>
      <c r="J58" s="117"/>
    </row>
    <row r="59" spans="1:10" ht="14.1" customHeight="1" x14ac:dyDescent="0.25">
      <c r="A59" s="101"/>
      <c r="B59" s="24"/>
      <c r="C59" s="74" t="s">
        <v>125</v>
      </c>
      <c r="D59" s="216"/>
      <c r="E59" s="216"/>
      <c r="F59" s="216"/>
      <c r="G59" s="216"/>
      <c r="H59" s="173"/>
      <c r="I59" s="173"/>
      <c r="J59" s="117"/>
    </row>
    <row r="60" spans="1:10" ht="14.1" customHeight="1" x14ac:dyDescent="0.2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2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2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2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25">
      <c r="B64" s="1"/>
      <c r="C64" s="309"/>
      <c r="D64" s="116"/>
      <c r="E64" s="116"/>
      <c r="F64" s="116"/>
      <c r="G64" s="116"/>
      <c r="H64" s="1"/>
      <c r="I64" s="1"/>
      <c r="J64" s="1"/>
    </row>
    <row r="65" spans="1:10" ht="17.100000000000001" customHeight="1" x14ac:dyDescent="0.25">
      <c r="B65" s="2"/>
      <c r="C65" s="233" t="s">
        <v>48</v>
      </c>
      <c r="D65" s="2"/>
      <c r="E65" s="2"/>
      <c r="F65" s="2"/>
      <c r="G65" s="2"/>
      <c r="H65" s="2"/>
      <c r="I65" s="2"/>
      <c r="J65" s="2"/>
    </row>
    <row r="66" spans="1:10" ht="3" customHeight="1" x14ac:dyDescent="0.25">
      <c r="B66" s="2"/>
      <c r="C66" s="233"/>
      <c r="D66" s="2"/>
      <c r="E66" s="2"/>
      <c r="F66" s="2"/>
      <c r="G66" s="2"/>
      <c r="H66" s="2"/>
      <c r="I66" s="2"/>
      <c r="J66" s="2"/>
    </row>
    <row r="67" spans="1:10" ht="14.1" customHeight="1" x14ac:dyDescent="0.2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25">
      <c r="B68" s="50"/>
      <c r="C68" s="324" t="s">
        <v>1</v>
      </c>
      <c r="D68" s="325"/>
      <c r="E68" s="324" t="s">
        <v>2</v>
      </c>
      <c r="F68" s="326"/>
      <c r="G68" s="324" t="s">
        <v>3</v>
      </c>
      <c r="H68" s="325"/>
      <c r="I68" s="173"/>
      <c r="J68" s="267"/>
    </row>
    <row r="69" spans="1:10" ht="15" customHeight="1" x14ac:dyDescent="0.25">
      <c r="B69" s="277"/>
      <c r="C69" s="110" t="s">
        <v>142</v>
      </c>
      <c r="D69" s="114">
        <v>65468</v>
      </c>
      <c r="E69" s="281" t="s">
        <v>4</v>
      </c>
      <c r="F69" s="109">
        <v>24966</v>
      </c>
      <c r="G69" s="185" t="s">
        <v>5</v>
      </c>
      <c r="H69" s="109">
        <v>7333</v>
      </c>
      <c r="I69" s="173"/>
      <c r="J69" s="267"/>
    </row>
    <row r="70" spans="1:10" ht="15" customHeight="1" x14ac:dyDescent="0.25">
      <c r="B70" s="277"/>
      <c r="C70" s="110" t="s">
        <v>9</v>
      </c>
      <c r="D70" s="114">
        <v>56468</v>
      </c>
      <c r="E70" s="271" t="s">
        <v>7</v>
      </c>
      <c r="F70" s="114">
        <v>39930</v>
      </c>
      <c r="G70" s="185" t="s">
        <v>8</v>
      </c>
      <c r="H70" s="114">
        <v>29439</v>
      </c>
      <c r="I70" s="173"/>
      <c r="J70" s="267"/>
    </row>
    <row r="71" spans="1:10" ht="14.1" customHeight="1" x14ac:dyDescent="0.25">
      <c r="B71" s="277"/>
      <c r="C71" s="110" t="s">
        <v>73</v>
      </c>
      <c r="D71" s="114">
        <v>8064</v>
      </c>
      <c r="E71" s="110" t="s">
        <v>10</v>
      </c>
      <c r="F71" s="114">
        <v>1801</v>
      </c>
      <c r="G71" s="185" t="s">
        <v>11</v>
      </c>
      <c r="H71" s="114">
        <v>3158</v>
      </c>
      <c r="I71" s="173"/>
      <c r="J71" s="267"/>
    </row>
    <row r="72" spans="1:10" ht="12" customHeight="1" x14ac:dyDescent="0.25">
      <c r="B72" s="277"/>
      <c r="C72" s="172" t="s">
        <v>49</v>
      </c>
      <c r="D72" s="184">
        <f>SUM(D69:D71)</f>
        <v>130000</v>
      </c>
      <c r="E72" s="172" t="s">
        <v>14</v>
      </c>
      <c r="F72" s="184">
        <f>SUM(F69:F71)</f>
        <v>66697</v>
      </c>
      <c r="G72" s="172" t="s">
        <v>7</v>
      </c>
      <c r="H72" s="184">
        <f>SUM(H69:H71)</f>
        <v>39930</v>
      </c>
      <c r="I72" s="173"/>
      <c r="J72" s="267"/>
    </row>
    <row r="73" spans="1:10" ht="14.25" customHeight="1" x14ac:dyDescent="0.25">
      <c r="A73" s="1"/>
      <c r="B73" s="277"/>
      <c r="C73" s="101" t="s">
        <v>144</v>
      </c>
      <c r="D73" s="243"/>
      <c r="E73" s="243"/>
      <c r="F73" s="243"/>
      <c r="G73" s="243"/>
      <c r="H73" s="243"/>
      <c r="I73" s="259"/>
      <c r="J73" s="117"/>
    </row>
    <row r="74" spans="1:10" ht="6" customHeight="1" x14ac:dyDescent="0.25">
      <c r="A74" s="1"/>
      <c r="B74" s="277"/>
      <c r="C74" s="93"/>
      <c r="D74" s="93"/>
      <c r="E74" s="93"/>
      <c r="F74" s="93"/>
      <c r="G74" s="93"/>
      <c r="H74" s="93"/>
      <c r="I74" s="259"/>
      <c r="J74" s="117"/>
    </row>
    <row r="75" spans="1:10" ht="14.1" customHeight="1" x14ac:dyDescent="0.25">
      <c r="A75" s="1"/>
      <c r="B75" s="135"/>
      <c r="C75" s="294"/>
      <c r="D75" s="106"/>
      <c r="E75" s="294"/>
      <c r="F75" s="294"/>
      <c r="G75" s="294"/>
      <c r="H75" s="294"/>
      <c r="I75" s="283"/>
      <c r="J75" s="178"/>
    </row>
    <row r="76" spans="1:10" ht="20.25" customHeight="1" x14ac:dyDescent="0.25">
      <c r="A76" s="1"/>
      <c r="B76" s="277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3">
      <c r="A77" s="1"/>
      <c r="B77" s="277"/>
      <c r="C77" s="311"/>
      <c r="D77" s="311"/>
      <c r="E77" s="311"/>
      <c r="F77" s="311"/>
      <c r="G77" s="311"/>
      <c r="H77" s="311"/>
      <c r="I77" s="311"/>
      <c r="J77" s="18"/>
    </row>
    <row r="78" spans="1:10" ht="54" customHeight="1" x14ac:dyDescent="0.25">
      <c r="A78" s="1"/>
      <c r="B78" s="277"/>
      <c r="C78" s="14" t="s">
        <v>16</v>
      </c>
      <c r="D78" s="113" t="s">
        <v>17</v>
      </c>
      <c r="E78" s="14" t="s">
        <v>50</v>
      </c>
      <c r="F78" s="14" t="s">
        <v>162</v>
      </c>
      <c r="G78" s="14" t="s">
        <v>163</v>
      </c>
      <c r="H78" s="14" t="s">
        <v>164</v>
      </c>
      <c r="I78" s="14" t="s">
        <v>165</v>
      </c>
      <c r="J78" s="117"/>
    </row>
    <row r="79" spans="1:10" ht="14.1" customHeight="1" x14ac:dyDescent="0.25">
      <c r="A79" s="1"/>
      <c r="B79" s="277"/>
      <c r="C79" s="31" t="s">
        <v>19</v>
      </c>
      <c r="D79" s="27">
        <f>D80+D81</f>
        <v>24966</v>
      </c>
      <c r="E79" s="27">
        <f>E81+E80</f>
        <v>26141</v>
      </c>
      <c r="F79" s="10">
        <f t="shared" ref="F79:I79" si="6">F81+F80</f>
        <v>151.11302000000001</v>
      </c>
      <c r="G79" s="10">
        <f t="shared" si="6"/>
        <v>19370.337919999998</v>
      </c>
      <c r="H79" s="10">
        <f t="shared" si="6"/>
        <v>6770.662080000001</v>
      </c>
      <c r="I79" s="10">
        <f t="shared" si="6"/>
        <v>22949.800809999997</v>
      </c>
      <c r="J79" s="267"/>
    </row>
    <row r="80" spans="1:10" ht="15" customHeight="1" x14ac:dyDescent="0.25">
      <c r="A80" s="1"/>
      <c r="B80" s="277"/>
      <c r="C80" s="43" t="s">
        <v>20</v>
      </c>
      <c r="D80" s="44">
        <v>24216</v>
      </c>
      <c r="E80" s="44">
        <v>25316</v>
      </c>
      <c r="F80" s="22">
        <f>151.11302</f>
        <v>151.11302000000001</v>
      </c>
      <c r="G80" s="22">
        <f>18952.8687</f>
        <v>18952.868699999999</v>
      </c>
      <c r="H80" s="22">
        <f>E80-G80</f>
        <v>6363.1313000000009</v>
      </c>
      <c r="I80" s="22">
        <f>22171.56356</f>
        <v>22171.563559999999</v>
      </c>
      <c r="J80" s="267"/>
    </row>
    <row r="81" spans="1:10" ht="14.1" customHeight="1" x14ac:dyDescent="0.25">
      <c r="A81" s="1"/>
      <c r="B81" s="277"/>
      <c r="C81" s="62" t="s">
        <v>21</v>
      </c>
      <c r="D81" s="218">
        <v>750</v>
      </c>
      <c r="E81" s="218">
        <v>825</v>
      </c>
      <c r="F81" s="48">
        <f>0</f>
        <v>0</v>
      </c>
      <c r="G81" s="48">
        <f>417.46922</f>
        <v>417.46922000000001</v>
      </c>
      <c r="H81" s="48">
        <f>E81-G81</f>
        <v>407.53077999999999</v>
      </c>
      <c r="I81" s="48">
        <f>778.23725</f>
        <v>778.23725000000002</v>
      </c>
      <c r="J81" s="267"/>
    </row>
    <row r="82" spans="1:10" ht="15.75" customHeight="1" x14ac:dyDescent="0.25">
      <c r="A82" s="1"/>
      <c r="B82" s="50"/>
      <c r="C82" s="15" t="s">
        <v>22</v>
      </c>
      <c r="D82" s="27">
        <f>D83+D88+D89</f>
        <v>41062</v>
      </c>
      <c r="E82" s="27">
        <f>E83+E88+E89</f>
        <v>44129</v>
      </c>
      <c r="F82" s="10">
        <f t="shared" ref="F82:I82" si="7">F83+F88+F89</f>
        <v>659.33748000000003</v>
      </c>
      <c r="G82" s="10">
        <f t="shared" si="7"/>
        <v>23713.974400000003</v>
      </c>
      <c r="H82" s="10">
        <f t="shared" si="7"/>
        <v>20415.025599999997</v>
      </c>
      <c r="I82" s="10">
        <f t="shared" si="7"/>
        <v>29594.728080000001</v>
      </c>
      <c r="J82" s="267"/>
    </row>
    <row r="83" spans="1:10" ht="14.1" customHeight="1" x14ac:dyDescent="0.25">
      <c r="A83" s="1"/>
      <c r="B83" s="51"/>
      <c r="C83" s="54" t="s">
        <v>23</v>
      </c>
      <c r="D83" s="55">
        <f>D84+D85+D86+D87</f>
        <v>30571</v>
      </c>
      <c r="E83" s="55">
        <f>E87+E86+E85+E84</f>
        <v>32505</v>
      </c>
      <c r="F83" s="129">
        <f t="shared" ref="F83:I83" si="8">F84+F85+F86+F87</f>
        <v>371.07564000000002</v>
      </c>
      <c r="G83" s="129">
        <f t="shared" si="8"/>
        <v>18649.758310000001</v>
      </c>
      <c r="H83" s="129">
        <f t="shared" si="8"/>
        <v>13855.241689999999</v>
      </c>
      <c r="I83" s="129">
        <f t="shared" si="8"/>
        <v>22940.996220000001</v>
      </c>
      <c r="J83" s="267"/>
    </row>
    <row r="84" spans="1:10" ht="14.1" customHeight="1" x14ac:dyDescent="0.25">
      <c r="A84" s="192"/>
      <c r="B84" s="176"/>
      <c r="C84" s="60" t="s">
        <v>24</v>
      </c>
      <c r="D84" s="61">
        <v>8110</v>
      </c>
      <c r="E84" s="61">
        <v>9004</v>
      </c>
      <c r="F84" s="123">
        <f>64.74443</f>
        <v>64.744429999999994</v>
      </c>
      <c r="G84" s="123">
        <f>2818.22159</f>
        <v>2818.2215900000001</v>
      </c>
      <c r="H84" s="123">
        <f t="shared" ref="H84:H91" si="9">E84-G84</f>
        <v>6185.7784099999999</v>
      </c>
      <c r="I84" s="123">
        <f>3944.88272</f>
        <v>3944.8827200000001</v>
      </c>
      <c r="J84" s="267"/>
    </row>
    <row r="85" spans="1:10" ht="14.1" customHeight="1" x14ac:dyDescent="0.25">
      <c r="A85" s="192"/>
      <c r="B85" s="176"/>
      <c r="C85" s="60" t="s">
        <v>51</v>
      </c>
      <c r="D85" s="61">
        <v>8674</v>
      </c>
      <c r="E85" s="61">
        <v>9075</v>
      </c>
      <c r="F85" s="123">
        <f>179.05492</f>
        <v>179.05492000000001</v>
      </c>
      <c r="G85" s="123">
        <f>5124.36091</f>
        <v>5124.3609100000003</v>
      </c>
      <c r="H85" s="123">
        <f t="shared" si="9"/>
        <v>3950.6390899999997</v>
      </c>
      <c r="I85" s="123">
        <f>7769.47871</f>
        <v>7769.4787100000003</v>
      </c>
      <c r="J85" s="267"/>
    </row>
    <row r="86" spans="1:10" ht="14.1" customHeight="1" x14ac:dyDescent="0.25">
      <c r="A86" s="192"/>
      <c r="B86" s="176"/>
      <c r="C86" s="60" t="s">
        <v>52</v>
      </c>
      <c r="D86" s="61">
        <v>8266</v>
      </c>
      <c r="E86" s="61">
        <v>8649</v>
      </c>
      <c r="F86" s="123">
        <f>48.4774</f>
        <v>48.477400000000003</v>
      </c>
      <c r="G86" s="123">
        <f>6279.89367</f>
        <v>6279.8936700000004</v>
      </c>
      <c r="H86" s="123">
        <f t="shared" si="9"/>
        <v>2369.1063299999996</v>
      </c>
      <c r="I86" s="123">
        <f>7098.84334</f>
        <v>7098.8433400000004</v>
      </c>
      <c r="J86" s="267"/>
    </row>
    <row r="87" spans="1:10" ht="14.1" customHeight="1" x14ac:dyDescent="0.25">
      <c r="A87" s="192"/>
      <c r="B87" s="176"/>
      <c r="C87" s="60" t="s">
        <v>27</v>
      </c>
      <c r="D87" s="61">
        <v>5521</v>
      </c>
      <c r="E87" s="61">
        <v>5777</v>
      </c>
      <c r="F87" s="123">
        <f>78.79889</f>
        <v>78.79889</v>
      </c>
      <c r="G87" s="123">
        <f>4427.28214</f>
        <v>4427.2821400000003</v>
      </c>
      <c r="H87" s="123">
        <f t="shared" si="9"/>
        <v>1349.7178599999997</v>
      </c>
      <c r="I87" s="123">
        <f>4127.79145</f>
        <v>4127.7914499999997</v>
      </c>
      <c r="J87" s="267"/>
    </row>
    <row r="88" spans="1:10" ht="14.1" customHeight="1" x14ac:dyDescent="0.25">
      <c r="A88" s="192"/>
      <c r="B88" s="176"/>
      <c r="C88" s="54" t="s">
        <v>53</v>
      </c>
      <c r="D88" s="55">
        <v>7333</v>
      </c>
      <c r="E88" s="55">
        <v>8117</v>
      </c>
      <c r="F88" s="129">
        <f>266.0906</f>
        <v>266.09059999999999</v>
      </c>
      <c r="G88" s="129">
        <f>3942.39625</f>
        <v>3942.3962499999998</v>
      </c>
      <c r="H88" s="129">
        <f t="shared" si="9"/>
        <v>4174.6037500000002</v>
      </c>
      <c r="I88" s="129">
        <f>4930.19697</f>
        <v>4930.19697</v>
      </c>
      <c r="J88" s="267"/>
    </row>
    <row r="89" spans="1:10" ht="15.75" customHeight="1" x14ac:dyDescent="0.25">
      <c r="A89" s="1"/>
      <c r="B89" s="51"/>
      <c r="C89" s="37" t="s">
        <v>11</v>
      </c>
      <c r="D89" s="59">
        <v>3158</v>
      </c>
      <c r="E89" s="59">
        <v>3507</v>
      </c>
      <c r="F89" s="72">
        <f>22.17124</f>
        <v>22.171240000000001</v>
      </c>
      <c r="G89" s="72">
        <f>1121.81984</f>
        <v>1121.8198400000001</v>
      </c>
      <c r="H89" s="72">
        <f t="shared" si="9"/>
        <v>2385.1801599999999</v>
      </c>
      <c r="I89" s="72">
        <f>1723.53489</f>
        <v>1723.5348899999999</v>
      </c>
      <c r="J89" s="267"/>
    </row>
    <row r="90" spans="1:10" ht="15.75" customHeight="1" x14ac:dyDescent="0.25">
      <c r="A90" s="1"/>
      <c r="B90" s="51"/>
      <c r="C90" s="70" t="s">
        <v>34</v>
      </c>
      <c r="D90" s="86">
        <v>319</v>
      </c>
      <c r="E90" s="86">
        <v>319</v>
      </c>
      <c r="F90" s="95">
        <f>1.89924</f>
        <v>1.89924</v>
      </c>
      <c r="G90" s="95">
        <f>29.07267</f>
        <v>29.072669999999999</v>
      </c>
      <c r="H90" s="95">
        <f t="shared" si="9"/>
        <v>289.92732999999998</v>
      </c>
      <c r="I90" s="95">
        <f>36.10176</f>
        <v>36.101759999999999</v>
      </c>
      <c r="J90" s="267"/>
    </row>
    <row r="91" spans="1:10" ht="18" customHeight="1" x14ac:dyDescent="0.25">
      <c r="A91" s="1"/>
      <c r="B91" s="277"/>
      <c r="C91" s="70" t="s">
        <v>54</v>
      </c>
      <c r="D91" s="140">
        <v>300</v>
      </c>
      <c r="E91" s="140">
        <v>300</v>
      </c>
      <c r="F91" s="136">
        <f>0.23729</f>
        <v>0.23729</v>
      </c>
      <c r="G91" s="136">
        <f>E91</f>
        <v>300</v>
      </c>
      <c r="H91" s="136">
        <f t="shared" si="9"/>
        <v>0</v>
      </c>
      <c r="I91" s="136">
        <f>E91</f>
        <v>300</v>
      </c>
      <c r="J91" s="267"/>
    </row>
    <row r="92" spans="1:10" ht="16.5" customHeight="1" x14ac:dyDescent="0.25">
      <c r="A92" s="1"/>
      <c r="B92" s="277"/>
      <c r="C92" s="89" t="s">
        <v>38</v>
      </c>
      <c r="D92" s="140">
        <v>50</v>
      </c>
      <c r="E92" s="140">
        <v>50</v>
      </c>
      <c r="F92" s="95">
        <f>0.03892</f>
        <v>3.8920000000000003E-2</v>
      </c>
      <c r="G92" s="95">
        <f>11.97144</f>
        <v>11.971439999999999</v>
      </c>
      <c r="H92" s="136">
        <f>E92-G92</f>
        <v>38.028559999999999</v>
      </c>
      <c r="I92" s="95">
        <f>19.51706</f>
        <v>19.517060000000001</v>
      </c>
      <c r="J92" s="267"/>
    </row>
    <row r="93" spans="1:10" ht="18" customHeight="1" x14ac:dyDescent="0.25">
      <c r="A93" s="1"/>
      <c r="B93" s="277"/>
      <c r="C93" s="89" t="s">
        <v>55</v>
      </c>
      <c r="D93" s="140"/>
      <c r="E93" s="136"/>
      <c r="F93" s="136">
        <f>0</f>
        <v>0</v>
      </c>
      <c r="G93" s="136">
        <f>11.8549</f>
        <v>11.854900000000001</v>
      </c>
      <c r="H93" s="136">
        <f t="shared" ref="H93" si="10">E93-G93</f>
        <v>-11.854900000000001</v>
      </c>
      <c r="I93" s="136">
        <f>16.07232</f>
        <v>16.072320000000001</v>
      </c>
      <c r="J93" s="267"/>
    </row>
    <row r="94" spans="1:10" ht="16.5" customHeight="1" x14ac:dyDescent="0.25">
      <c r="A94" s="1"/>
      <c r="B94" s="277"/>
      <c r="C94" s="71" t="s">
        <v>40</v>
      </c>
      <c r="D94" s="73">
        <f>D79+D82+D90+D91+D92+D93</f>
        <v>66697</v>
      </c>
      <c r="E94" s="73">
        <f t="shared" ref="E94" si="11">E79+E82+E90+E91+E92+E93</f>
        <v>70939</v>
      </c>
      <c r="F94" s="73">
        <f t="shared" ref="F94:I94" si="12">F79+F82+F90+F91+F92+F93</f>
        <v>812.62594999999999</v>
      </c>
      <c r="G94" s="73">
        <f t="shared" si="12"/>
        <v>43437.211329999998</v>
      </c>
      <c r="H94" s="73">
        <f t="shared" si="12"/>
        <v>27501.788669999998</v>
      </c>
      <c r="I94" s="73">
        <f t="shared" si="12"/>
        <v>52916.220029999997</v>
      </c>
      <c r="J94" s="267"/>
    </row>
    <row r="95" spans="1:10" ht="13.5" customHeight="1" x14ac:dyDescent="0.25">
      <c r="A95" s="1"/>
      <c r="B95" s="277"/>
      <c r="C95" s="74" t="s">
        <v>126</v>
      </c>
      <c r="D95" s="97"/>
      <c r="E95" s="97"/>
      <c r="F95" s="98"/>
      <c r="G95" s="98"/>
      <c r="H95" s="100"/>
      <c r="I95" s="251"/>
      <c r="J95" s="267"/>
    </row>
    <row r="96" spans="1:10" ht="13.5" customHeight="1" x14ac:dyDescent="0.25">
      <c r="A96" s="1"/>
      <c r="B96" s="24"/>
      <c r="C96" s="156" t="s">
        <v>159</v>
      </c>
      <c r="D96" s="216"/>
      <c r="E96" s="216"/>
      <c r="F96" s="76"/>
      <c r="G96" s="76"/>
      <c r="H96" s="251"/>
      <c r="I96" s="251"/>
      <c r="J96" s="102"/>
    </row>
    <row r="97" spans="1:10" ht="15" customHeight="1" x14ac:dyDescent="0.25">
      <c r="A97" s="1"/>
      <c r="B97" s="24"/>
      <c r="C97" s="156" t="s">
        <v>158</v>
      </c>
      <c r="D97" s="216"/>
      <c r="E97" s="216"/>
      <c r="F97" s="76"/>
      <c r="G97" s="76"/>
      <c r="H97" s="251"/>
      <c r="I97" s="251"/>
      <c r="J97" s="102"/>
    </row>
    <row r="98" spans="1:10" ht="15" customHeight="1" x14ac:dyDescent="0.25">
      <c r="A98" s="1"/>
      <c r="B98" s="24"/>
      <c r="C98" s="251" t="s">
        <v>56</v>
      </c>
      <c r="D98" s="216"/>
      <c r="E98" s="216"/>
      <c r="F98" s="76"/>
      <c r="G98" s="76"/>
      <c r="H98" s="251"/>
      <c r="I98" s="251"/>
      <c r="J98" s="102"/>
    </row>
    <row r="99" spans="1:10" ht="12" customHeight="1" x14ac:dyDescent="0.2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25">
      <c r="A100" s="1"/>
      <c r="B100" s="101"/>
      <c r="C100" s="1" t="s">
        <v>112</v>
      </c>
      <c r="D100" s="251"/>
      <c r="E100" s="251"/>
      <c r="F100" s="251"/>
      <c r="G100" s="251"/>
      <c r="H100" s="251"/>
      <c r="I100" s="101"/>
      <c r="J100" s="101" t="s">
        <v>112</v>
      </c>
    </row>
    <row r="101" spans="1:10" ht="14.25" customHeight="1" x14ac:dyDescent="0.25">
      <c r="A101" s="1"/>
      <c r="B101" s="101"/>
      <c r="C101" s="101" t="s">
        <v>112</v>
      </c>
      <c r="D101" s="101" t="s">
        <v>112</v>
      </c>
      <c r="E101" s="101"/>
      <c r="F101" s="101"/>
      <c r="G101" s="101"/>
      <c r="H101" s="101"/>
      <c r="I101" s="101"/>
      <c r="J101" s="101" t="s">
        <v>112</v>
      </c>
    </row>
    <row r="102" spans="1:10" ht="17.100000000000001" customHeight="1" x14ac:dyDescent="0.25">
      <c r="A102" s="223"/>
      <c r="B102" s="223"/>
      <c r="C102" s="233" t="s">
        <v>57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2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" customHeight="1" x14ac:dyDescent="0.2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2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67"/>
    </row>
    <row r="106" spans="1:10" ht="14.1" customHeight="1" x14ac:dyDescent="0.25">
      <c r="A106" s="1"/>
      <c r="B106" s="277"/>
      <c r="C106" s="110" t="s">
        <v>6</v>
      </c>
      <c r="D106" s="109">
        <v>179367</v>
      </c>
      <c r="E106" s="96" t="s">
        <v>4</v>
      </c>
      <c r="F106" s="109">
        <v>64787</v>
      </c>
      <c r="G106" s="110" t="s">
        <v>5</v>
      </c>
      <c r="H106" s="109">
        <v>7319</v>
      </c>
      <c r="I106" s="173"/>
      <c r="J106" s="267"/>
    </row>
    <row r="107" spans="1:10" ht="14.1" customHeight="1" x14ac:dyDescent="0.25">
      <c r="A107" s="1"/>
      <c r="B107" s="277"/>
      <c r="C107" s="110" t="s">
        <v>9</v>
      </c>
      <c r="D107" s="114">
        <v>12100</v>
      </c>
      <c r="E107" s="110" t="s">
        <v>7</v>
      </c>
      <c r="F107" s="114">
        <v>66538</v>
      </c>
      <c r="G107" s="110" t="s">
        <v>8</v>
      </c>
      <c r="H107" s="114">
        <v>49904</v>
      </c>
      <c r="I107" s="173"/>
      <c r="J107" s="267"/>
    </row>
    <row r="108" spans="1:10" ht="14.1" customHeight="1" x14ac:dyDescent="0.25">
      <c r="A108" s="1"/>
      <c r="B108" s="277"/>
      <c r="C108" s="271" t="s">
        <v>58</v>
      </c>
      <c r="D108" s="114">
        <v>1650</v>
      </c>
      <c r="E108" s="110" t="s">
        <v>59</v>
      </c>
      <c r="F108" s="114">
        <v>43775</v>
      </c>
      <c r="G108" s="110" t="s">
        <v>11</v>
      </c>
      <c r="H108" s="114">
        <v>9315</v>
      </c>
      <c r="I108" s="173"/>
      <c r="J108" s="267"/>
    </row>
    <row r="109" spans="1:10" ht="14.1" customHeight="1" x14ac:dyDescent="0.25">
      <c r="A109" s="1"/>
      <c r="B109" s="149"/>
      <c r="C109" s="161"/>
      <c r="D109" s="185"/>
      <c r="E109" s="185" t="s">
        <v>60</v>
      </c>
      <c r="F109" s="114">
        <v>4267</v>
      </c>
      <c r="G109" s="110"/>
      <c r="H109" s="161"/>
      <c r="I109" s="173"/>
      <c r="J109" s="267"/>
    </row>
    <row r="110" spans="1:10" ht="12" customHeight="1" x14ac:dyDescent="0.25">
      <c r="A110" s="1"/>
      <c r="B110" s="277"/>
      <c r="C110" s="172" t="s">
        <v>49</v>
      </c>
      <c r="D110" s="206">
        <v>193117</v>
      </c>
      <c r="E110" s="112" t="s">
        <v>14</v>
      </c>
      <c r="F110" s="184">
        <v>179367</v>
      </c>
      <c r="G110" s="172" t="s">
        <v>7</v>
      </c>
      <c r="H110" s="184">
        <v>66538</v>
      </c>
      <c r="I110" s="173"/>
      <c r="J110" s="267"/>
    </row>
    <row r="111" spans="1:10" ht="12" customHeight="1" x14ac:dyDescent="0.25">
      <c r="A111" s="101"/>
      <c r="B111" s="24"/>
      <c r="C111" s="101" t="s">
        <v>127</v>
      </c>
      <c r="D111" s="101"/>
      <c r="E111" s="101"/>
      <c r="F111" s="101"/>
      <c r="G111" s="101"/>
      <c r="H111" s="101"/>
      <c r="I111" s="101"/>
      <c r="J111" s="157"/>
    </row>
    <row r="112" spans="1:10" ht="17.100000000000001" customHeight="1" x14ac:dyDescent="0.25">
      <c r="A112" s="1"/>
      <c r="B112" s="264"/>
      <c r="C112" s="294"/>
      <c r="D112" s="294"/>
      <c r="E112" s="256"/>
      <c r="F112" s="256"/>
      <c r="G112" s="256"/>
      <c r="H112" s="256"/>
      <c r="I112" s="256"/>
      <c r="J112" s="268"/>
    </row>
    <row r="113" spans="1:10" ht="25.5" customHeight="1" x14ac:dyDescent="0.25">
      <c r="A113" s="1"/>
      <c r="B113" s="277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25">
      <c r="A114" s="152"/>
      <c r="B114" s="50"/>
      <c r="C114" s="286" t="s">
        <v>16</v>
      </c>
      <c r="D114" s="14" t="s">
        <v>17</v>
      </c>
      <c r="E114" s="14" t="s">
        <v>61</v>
      </c>
      <c r="F114" s="14" t="s">
        <v>162</v>
      </c>
      <c r="G114" s="14" t="s">
        <v>163</v>
      </c>
      <c r="H114" s="14" t="s">
        <v>164</v>
      </c>
      <c r="I114" s="14" t="s">
        <v>165</v>
      </c>
      <c r="J114" s="301"/>
    </row>
    <row r="115" spans="1:10" ht="14.1" customHeight="1" x14ac:dyDescent="0.25">
      <c r="A115" s="1"/>
      <c r="B115" s="277"/>
      <c r="C115" s="15" t="s">
        <v>62</v>
      </c>
      <c r="D115" s="27">
        <f>D116+D117+D118</f>
        <v>64787</v>
      </c>
      <c r="E115" s="27">
        <f>E116+E117+E118</f>
        <v>71015</v>
      </c>
      <c r="F115" s="10">
        <f t="shared" ref="F115:I115" si="13">F116+F117+F118</f>
        <v>393.04332999999997</v>
      </c>
      <c r="G115" s="10">
        <f t="shared" si="13"/>
        <v>31034.365929999996</v>
      </c>
      <c r="H115" s="10">
        <f t="shared" si="13"/>
        <v>39980.63407</v>
      </c>
      <c r="I115" s="10">
        <f t="shared" si="13"/>
        <v>38724.249789999994</v>
      </c>
      <c r="J115" s="267"/>
    </row>
    <row r="116" spans="1:10" ht="14.1" customHeight="1" x14ac:dyDescent="0.25">
      <c r="A116" s="1"/>
      <c r="B116" s="277"/>
      <c r="C116" s="43" t="s">
        <v>20</v>
      </c>
      <c r="D116" s="44">
        <v>51830</v>
      </c>
      <c r="E116" s="44">
        <v>56450</v>
      </c>
      <c r="F116" s="22">
        <f>279.31933</f>
        <v>279.31932999999998</v>
      </c>
      <c r="G116" s="22">
        <f>27587.37159</f>
        <v>27587.371589999999</v>
      </c>
      <c r="H116" s="22">
        <f>E116-G116</f>
        <v>28862.628410000001</v>
      </c>
      <c r="I116" s="22">
        <f>34323.36604</f>
        <v>34323.366040000001</v>
      </c>
      <c r="J116" s="267"/>
    </row>
    <row r="117" spans="1:10" ht="15" customHeight="1" x14ac:dyDescent="0.25">
      <c r="A117" s="1"/>
      <c r="B117" s="277"/>
      <c r="C117" s="43" t="s">
        <v>21</v>
      </c>
      <c r="D117" s="44">
        <v>12457</v>
      </c>
      <c r="E117" s="44">
        <v>14065</v>
      </c>
      <c r="F117" s="22">
        <f>113.724</f>
        <v>113.724</v>
      </c>
      <c r="G117" s="22">
        <f>3381.63674</f>
        <v>3381.6367399999999</v>
      </c>
      <c r="H117" s="22">
        <f>E117-G117</f>
        <v>10683.36326</v>
      </c>
      <c r="I117" s="22">
        <f>4335.4336</f>
        <v>4335.4336000000003</v>
      </c>
      <c r="J117" s="267"/>
    </row>
    <row r="118" spans="1:10" ht="13.5" customHeight="1" x14ac:dyDescent="0.25">
      <c r="A118" s="1"/>
      <c r="B118" s="277"/>
      <c r="C118" s="47" t="s">
        <v>63</v>
      </c>
      <c r="D118" s="32">
        <v>500</v>
      </c>
      <c r="E118" s="32">
        <v>500</v>
      </c>
      <c r="F118" s="22">
        <f>0</f>
        <v>0</v>
      </c>
      <c r="G118" s="22">
        <f>65.3576</f>
        <v>65.357600000000005</v>
      </c>
      <c r="H118" s="53">
        <f>E118-G118</f>
        <v>434.64240000000001</v>
      </c>
      <c r="I118" s="22">
        <f>65.45015</f>
        <v>65.450149999999994</v>
      </c>
      <c r="J118" s="267"/>
    </row>
    <row r="119" spans="1:10" ht="14.25" customHeight="1" x14ac:dyDescent="0.25">
      <c r="A119" s="65"/>
      <c r="B119" s="75"/>
      <c r="C119" s="85" t="s">
        <v>64</v>
      </c>
      <c r="D119" s="87">
        <v>43775</v>
      </c>
      <c r="E119" s="87">
        <v>51430</v>
      </c>
      <c r="F119" s="92">
        <f>1388.8912</f>
        <v>1388.8912</v>
      </c>
      <c r="G119" s="92">
        <f>15177.95335</f>
        <v>15177.95335</v>
      </c>
      <c r="H119" s="92">
        <f>E119-G119</f>
        <v>36252.046650000004</v>
      </c>
      <c r="I119" s="92">
        <f>7806.78774</f>
        <v>7806.7877399999998</v>
      </c>
      <c r="J119" s="111"/>
    </row>
    <row r="120" spans="1:10" ht="15.75" customHeight="1" x14ac:dyDescent="0.25">
      <c r="A120" s="1"/>
      <c r="B120" s="277"/>
      <c r="C120" s="139" t="s">
        <v>22</v>
      </c>
      <c r="D120" s="140">
        <f>D121+D126+D129</f>
        <v>67996</v>
      </c>
      <c r="E120" s="140">
        <f>E121+E126+E129</f>
        <v>75045</v>
      </c>
      <c r="F120" s="91">
        <f>F121+F126+F129</f>
        <v>760.94939000000011</v>
      </c>
      <c r="G120" s="91">
        <f t="shared" ref="G120" si="14">G121+G126+G129</f>
        <v>35824.164089999998</v>
      </c>
      <c r="H120" s="91">
        <f>H121+H126+H129</f>
        <v>39220.835910000002</v>
      </c>
      <c r="I120" s="91">
        <f>I121+I126+I129</f>
        <v>47674.585780000001</v>
      </c>
      <c r="J120" s="117"/>
    </row>
    <row r="121" spans="1:10" ht="14.1" customHeight="1" x14ac:dyDescent="0.25">
      <c r="A121" s="1"/>
      <c r="B121" s="50"/>
      <c r="C121" s="118" t="s">
        <v>65</v>
      </c>
      <c r="D121" s="119">
        <f>D122+D123+D124+D125</f>
        <v>51362</v>
      </c>
      <c r="E121" s="119">
        <f>E122+E123+E124+E125</f>
        <v>56359</v>
      </c>
      <c r="F121" s="121">
        <f>F122+F123+F124+F125</f>
        <v>641.68108000000007</v>
      </c>
      <c r="G121" s="121">
        <f>G122+G123+G125+G124</f>
        <v>26791.878239999998</v>
      </c>
      <c r="H121" s="121">
        <f>H122+H123+H124+H125</f>
        <v>29567.121760000002</v>
      </c>
      <c r="I121" s="121">
        <f>I122+I123+I124+I125</f>
        <v>35604.70235</v>
      </c>
      <c r="J121" s="301"/>
    </row>
    <row r="122" spans="1:10" ht="14.1" customHeight="1" x14ac:dyDescent="0.25">
      <c r="A122" s="192"/>
      <c r="B122" s="122"/>
      <c r="C122" s="60" t="s">
        <v>24</v>
      </c>
      <c r="D122" s="61">
        <v>13661</v>
      </c>
      <c r="E122" s="61">
        <v>16016</v>
      </c>
      <c r="F122" s="123">
        <f>99.92605</f>
        <v>99.926050000000004</v>
      </c>
      <c r="G122" s="123">
        <f>5951.59483</f>
        <v>5951.59483</v>
      </c>
      <c r="H122" s="123">
        <f>E122-G122</f>
        <v>10064.40517</v>
      </c>
      <c r="I122" s="123">
        <f>6529.073</f>
        <v>6529.0730000000003</v>
      </c>
      <c r="J122" s="125"/>
    </row>
    <row r="123" spans="1:10" ht="14.1" customHeight="1" x14ac:dyDescent="0.25">
      <c r="A123" s="192"/>
      <c r="B123" s="176"/>
      <c r="C123" s="60" t="s">
        <v>51</v>
      </c>
      <c r="D123" s="61">
        <v>14094</v>
      </c>
      <c r="E123" s="61">
        <v>14854</v>
      </c>
      <c r="F123" s="123">
        <f>114.7554</f>
        <v>114.75539999999999</v>
      </c>
      <c r="G123" s="123">
        <f>7787.03074</f>
        <v>7787.0307400000002</v>
      </c>
      <c r="H123" s="123">
        <f>E123-G123</f>
        <v>7066.9692599999998</v>
      </c>
      <c r="I123" s="123">
        <f>10382.97805</f>
        <v>10382.97805</v>
      </c>
      <c r="J123" s="126"/>
    </row>
    <row r="124" spans="1:10" ht="14.1" customHeight="1" x14ac:dyDescent="0.25">
      <c r="A124" s="192"/>
      <c r="B124" s="176"/>
      <c r="C124" s="60" t="s">
        <v>52</v>
      </c>
      <c r="D124" s="61">
        <v>12169</v>
      </c>
      <c r="E124" s="61">
        <v>12872</v>
      </c>
      <c r="F124" s="123">
        <f>174.43166</f>
        <v>174.43165999999999</v>
      </c>
      <c r="G124" s="123">
        <f>6262.86799</f>
        <v>6262.8679899999997</v>
      </c>
      <c r="H124" s="123">
        <f>E124-G124</f>
        <v>6609.1320100000003</v>
      </c>
      <c r="I124" s="123">
        <f>9430.50294</f>
        <v>9430.5029400000003</v>
      </c>
      <c r="J124" s="126"/>
    </row>
    <row r="125" spans="1:10" ht="14.1" customHeight="1" x14ac:dyDescent="0.25">
      <c r="A125" s="192"/>
      <c r="B125" s="176"/>
      <c r="C125" s="60" t="s">
        <v>27</v>
      </c>
      <c r="D125" s="61">
        <v>11438</v>
      </c>
      <c r="E125" s="61">
        <v>12617</v>
      </c>
      <c r="F125" s="123">
        <f>252.56797</f>
        <v>252.56797</v>
      </c>
      <c r="G125" s="123">
        <f>6790.38468</f>
        <v>6790.3846800000001</v>
      </c>
      <c r="H125" s="123">
        <f>E125-G125</f>
        <v>5826.6153199999999</v>
      </c>
      <c r="I125" s="123">
        <f>9262.14836</f>
        <v>9262.1483599999992</v>
      </c>
      <c r="J125" s="126"/>
    </row>
    <row r="126" spans="1:10" ht="14.1" customHeight="1" x14ac:dyDescent="0.25">
      <c r="A126" s="64"/>
      <c r="B126" s="51"/>
      <c r="C126" s="54" t="s">
        <v>29</v>
      </c>
      <c r="D126" s="55">
        <f>D127+D128</f>
        <v>7319</v>
      </c>
      <c r="E126" s="55">
        <f>E127+E128</f>
        <v>7742</v>
      </c>
      <c r="F126" s="129">
        <f>SUM(F127:F128)</f>
        <v>6.53592</v>
      </c>
      <c r="G126" s="129">
        <f>SUM(G127:G128)</f>
        <v>5850.7241100000001</v>
      </c>
      <c r="H126" s="129">
        <f>H127+H128</f>
        <v>1891.2758899999997</v>
      </c>
      <c r="I126" s="129">
        <f>SUM(I127:I128)</f>
        <v>8662.129429999999</v>
      </c>
      <c r="J126" s="130"/>
    </row>
    <row r="127" spans="1:10" ht="14.1" customHeight="1" x14ac:dyDescent="0.25">
      <c r="A127" s="1"/>
      <c r="B127" s="277"/>
      <c r="C127" s="60" t="s">
        <v>66</v>
      </c>
      <c r="D127" s="61">
        <v>6819</v>
      </c>
      <c r="E127" s="61">
        <v>7242</v>
      </c>
      <c r="F127" s="123">
        <f>6.24552</f>
        <v>6.24552</v>
      </c>
      <c r="G127" s="123">
        <f>5718.71539</f>
        <v>5718.7153900000003</v>
      </c>
      <c r="H127" s="123">
        <f t="shared" ref="H127:H135" si="15">E127-G127</f>
        <v>1523.2846099999997</v>
      </c>
      <c r="I127" s="123">
        <f>8284.9558</f>
        <v>8284.9557999999997</v>
      </c>
      <c r="J127" s="117"/>
    </row>
    <row r="128" spans="1:10" ht="15" customHeight="1" x14ac:dyDescent="0.25">
      <c r="A128" s="1"/>
      <c r="B128" s="51"/>
      <c r="C128" s="60" t="s">
        <v>67</v>
      </c>
      <c r="D128" s="61">
        <v>500</v>
      </c>
      <c r="E128" s="61">
        <v>500</v>
      </c>
      <c r="F128" s="123">
        <f>0.2904</f>
        <v>0.29039999999999999</v>
      </c>
      <c r="G128" s="123">
        <f>132.00872</f>
        <v>132.00872000000001</v>
      </c>
      <c r="H128" s="123">
        <f t="shared" si="15"/>
        <v>367.99127999999996</v>
      </c>
      <c r="I128" s="123">
        <f>377.17363</f>
        <v>377.17363</v>
      </c>
      <c r="J128" s="131"/>
    </row>
    <row r="129" spans="1:10" ht="15.75" customHeight="1" x14ac:dyDescent="0.25">
      <c r="A129" s="1"/>
      <c r="B129" s="277"/>
      <c r="C129" s="37" t="s">
        <v>11</v>
      </c>
      <c r="D129" s="59">
        <v>9315</v>
      </c>
      <c r="E129" s="59">
        <v>10944</v>
      </c>
      <c r="F129" s="72">
        <f>112.73239</f>
        <v>112.73239</v>
      </c>
      <c r="G129" s="72">
        <f>3181.56174</f>
        <v>3181.5617400000001</v>
      </c>
      <c r="H129" s="72">
        <f t="shared" si="15"/>
        <v>7762.4382599999999</v>
      </c>
      <c r="I129" s="72">
        <f>3407.754</f>
        <v>3407.7539999999999</v>
      </c>
      <c r="J129" s="117"/>
    </row>
    <row r="130" spans="1:10" ht="15.75" customHeight="1" x14ac:dyDescent="0.25">
      <c r="A130" s="1"/>
      <c r="B130" s="277"/>
      <c r="C130" s="139" t="s">
        <v>34</v>
      </c>
      <c r="D130" s="140">
        <v>146</v>
      </c>
      <c r="E130" s="140">
        <v>146</v>
      </c>
      <c r="F130" s="136">
        <f>0.9</f>
        <v>0.9</v>
      </c>
      <c r="G130" s="136">
        <f>16.4505</f>
        <v>16.450500000000002</v>
      </c>
      <c r="H130" s="136">
        <f t="shared" si="15"/>
        <v>129.54949999999999</v>
      </c>
      <c r="I130" s="136">
        <f>15.71255</f>
        <v>15.71255</v>
      </c>
      <c r="J130" s="117"/>
    </row>
    <row r="131" spans="1:10" ht="15.75" customHeight="1" x14ac:dyDescent="0.25">
      <c r="A131" s="1"/>
      <c r="B131" s="277"/>
      <c r="C131" s="137" t="s">
        <v>68</v>
      </c>
      <c r="D131" s="86">
        <v>350</v>
      </c>
      <c r="E131" s="86">
        <v>350</v>
      </c>
      <c r="F131" s="95">
        <f>0</f>
        <v>0</v>
      </c>
      <c r="G131" s="95">
        <f>0</f>
        <v>0</v>
      </c>
      <c r="H131" s="95">
        <f t="shared" si="15"/>
        <v>350</v>
      </c>
      <c r="I131" s="95">
        <f>176.384</f>
        <v>176.38399999999999</v>
      </c>
      <c r="J131" s="117"/>
    </row>
    <row r="132" spans="1:10" ht="18" customHeight="1" x14ac:dyDescent="0.25">
      <c r="A132" s="1"/>
      <c r="B132" s="277"/>
      <c r="C132" s="137" t="s">
        <v>69</v>
      </c>
      <c r="D132" s="140">
        <v>2000</v>
      </c>
      <c r="E132" s="140">
        <v>2000</v>
      </c>
      <c r="F132" s="136">
        <f>10.75428</f>
        <v>10.75428</v>
      </c>
      <c r="G132" s="136">
        <f>E132</f>
        <v>2000</v>
      </c>
      <c r="H132" s="136">
        <f t="shared" si="15"/>
        <v>0</v>
      </c>
      <c r="I132" s="136">
        <f>E132</f>
        <v>2000</v>
      </c>
      <c r="J132" s="267"/>
    </row>
    <row r="133" spans="1:10" ht="15.75" customHeight="1" x14ac:dyDescent="0.25">
      <c r="A133" s="1"/>
      <c r="B133" s="277"/>
      <c r="C133" s="139" t="s">
        <v>37</v>
      </c>
      <c r="D133" s="140"/>
      <c r="E133" s="140"/>
      <c r="F133" s="136">
        <v>0</v>
      </c>
      <c r="G133" s="136">
        <v>0</v>
      </c>
      <c r="H133" s="136">
        <f t="shared" si="15"/>
        <v>0</v>
      </c>
      <c r="I133" s="136"/>
      <c r="J133" s="117"/>
    </row>
    <row r="134" spans="1:10" ht="15.75" customHeight="1" x14ac:dyDescent="0.25">
      <c r="A134" s="1"/>
      <c r="B134" s="277"/>
      <c r="C134" s="139" t="s">
        <v>70</v>
      </c>
      <c r="D134" s="140">
        <v>313</v>
      </c>
      <c r="E134" s="140">
        <v>313</v>
      </c>
      <c r="F134" s="95">
        <f>0.0282</f>
        <v>2.8199999999999999E-2</v>
      </c>
      <c r="G134" s="95">
        <f>81.85055</f>
        <v>81.850549999999998</v>
      </c>
      <c r="H134" s="136">
        <f t="shared" si="15"/>
        <v>231.14945</v>
      </c>
      <c r="I134" s="95">
        <f>38.14073</f>
        <v>38.140729999999998</v>
      </c>
      <c r="J134" s="117"/>
    </row>
    <row r="135" spans="1:10" ht="15" customHeight="1" x14ac:dyDescent="0.25">
      <c r="A135" s="1"/>
      <c r="B135" s="277"/>
      <c r="C135" s="139" t="s">
        <v>39</v>
      </c>
      <c r="D135" s="142"/>
      <c r="E135" s="140"/>
      <c r="F135" s="136">
        <f>0</f>
        <v>0</v>
      </c>
      <c r="G135" s="136">
        <f>75.06826</f>
        <v>75.068259999999995</v>
      </c>
      <c r="H135" s="136">
        <f t="shared" si="15"/>
        <v>-75.068259999999995</v>
      </c>
      <c r="I135" s="136">
        <f>109.17109</f>
        <v>109.17109000000001</v>
      </c>
      <c r="J135" s="117"/>
    </row>
    <row r="136" spans="1:10" ht="0" hidden="1" customHeight="1" x14ac:dyDescent="0.2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25">
      <c r="A137" s="152"/>
      <c r="B137" s="50"/>
      <c r="C137" s="153" t="s">
        <v>40</v>
      </c>
      <c r="D137" s="73">
        <f t="shared" ref="D137:E137" si="16">D115+D119+D120+D130+D131+D132+D133+D134+D135</f>
        <v>179367</v>
      </c>
      <c r="E137" s="73">
        <f t="shared" si="16"/>
        <v>200299</v>
      </c>
      <c r="F137" s="73">
        <f>F115+F119+F120+F130+F131+F132+F133+F134+F135</f>
        <v>2554.5664000000006</v>
      </c>
      <c r="G137" s="73">
        <f>G115+G119+G120+G130+G131+G132+G133+G134+G135</f>
        <v>84209.852680000011</v>
      </c>
      <c r="H137" s="73">
        <f>H115+H119+H120+H130+H131+H132+H133+H134+H135</f>
        <v>116089.14731999999</v>
      </c>
      <c r="I137" s="73">
        <f>I115+I119+I120+I130+I131+I132+I133+I134+I135</f>
        <v>96545.03168</v>
      </c>
      <c r="J137" s="155"/>
    </row>
    <row r="138" spans="1:10" ht="14.25" customHeight="1" x14ac:dyDescent="0.25">
      <c r="A138" s="152"/>
      <c r="B138" s="50"/>
      <c r="C138" s="156" t="s">
        <v>71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25">
      <c r="A139" s="152"/>
      <c r="B139" s="50"/>
      <c r="C139" s="101" t="s">
        <v>128</v>
      </c>
      <c r="D139" s="116"/>
      <c r="E139" s="116"/>
      <c r="F139" s="116"/>
      <c r="G139" s="116"/>
      <c r="H139" s="159"/>
      <c r="I139" s="152"/>
      <c r="J139" s="301"/>
    </row>
    <row r="140" spans="1:10" ht="14.25" customHeight="1" x14ac:dyDescent="0.25">
      <c r="A140" s="152"/>
      <c r="B140" s="50"/>
      <c r="C140" s="156" t="s">
        <v>166</v>
      </c>
      <c r="D140" s="116"/>
      <c r="E140" s="116"/>
      <c r="F140" s="116"/>
      <c r="G140" s="116"/>
      <c r="H140" s="159"/>
      <c r="I140" s="152"/>
      <c r="J140" s="301"/>
    </row>
    <row r="141" spans="1:10" ht="14.25" customHeight="1" x14ac:dyDescent="0.25">
      <c r="A141" s="152"/>
      <c r="B141" s="50"/>
      <c r="C141" s="74" t="s">
        <v>160</v>
      </c>
      <c r="D141" s="116"/>
      <c r="E141" s="116"/>
      <c r="F141" s="116"/>
      <c r="G141" s="116"/>
      <c r="H141" s="159"/>
      <c r="I141" s="159"/>
      <c r="J141" s="301"/>
    </row>
    <row r="142" spans="1:10" ht="15.75" customHeight="1" x14ac:dyDescent="0.25">
      <c r="A142" s="152"/>
      <c r="B142" s="50"/>
      <c r="C142" s="156" t="s">
        <v>131</v>
      </c>
      <c r="D142" s="116"/>
      <c r="E142" s="116"/>
      <c r="F142" s="116"/>
      <c r="G142" s="116"/>
      <c r="H142" s="159"/>
      <c r="I142" s="159"/>
      <c r="J142" s="301"/>
    </row>
    <row r="143" spans="1:10" ht="15.75" customHeight="1" x14ac:dyDescent="0.25">
      <c r="A143" s="152"/>
      <c r="B143" s="50"/>
      <c r="C143" s="74" t="s">
        <v>137</v>
      </c>
      <c r="D143" s="116"/>
      <c r="E143" s="116"/>
      <c r="F143" s="116"/>
      <c r="G143" s="116"/>
      <c r="H143" s="159"/>
      <c r="I143" s="159"/>
      <c r="J143" s="301"/>
    </row>
    <row r="144" spans="1:10" ht="12" customHeight="1" x14ac:dyDescent="0.2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2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2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25">
      <c r="A147" s="1" t="s">
        <v>112</v>
      </c>
      <c r="B147" s="2"/>
      <c r="C147" s="233" t="s">
        <v>72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2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25">
      <c r="A149" s="1" t="s">
        <v>112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" customHeight="1" x14ac:dyDescent="0.25">
      <c r="A150" s="1" t="s">
        <v>112</v>
      </c>
      <c r="B150" s="277"/>
      <c r="C150" s="144" t="s">
        <v>1</v>
      </c>
      <c r="D150" s="180"/>
      <c r="E150" s="302"/>
      <c r="F150" s="302"/>
      <c r="G150" s="302"/>
      <c r="H150" s="1"/>
      <c r="I150" s="1"/>
      <c r="J150" s="117"/>
    </row>
    <row r="151" spans="1:10" ht="14.1" customHeight="1" x14ac:dyDescent="0.25">
      <c r="A151" s="1"/>
      <c r="B151" s="277"/>
      <c r="C151" s="172" t="s">
        <v>6</v>
      </c>
      <c r="D151" s="184">
        <v>9675</v>
      </c>
      <c r="E151" s="302"/>
      <c r="F151" s="302"/>
      <c r="G151" s="302"/>
      <c r="H151" s="1"/>
      <c r="I151" s="1"/>
      <c r="J151" s="117"/>
    </row>
    <row r="152" spans="1:10" ht="14.1" customHeight="1" x14ac:dyDescent="0.25">
      <c r="A152" s="1"/>
      <c r="B152" s="277"/>
      <c r="C152" s="172" t="s">
        <v>9</v>
      </c>
      <c r="D152" s="184">
        <v>8625</v>
      </c>
      <c r="E152" s="302"/>
      <c r="F152" s="302"/>
      <c r="G152" s="258"/>
      <c r="H152" s="1"/>
      <c r="I152" s="1"/>
      <c r="J152" s="117"/>
    </row>
    <row r="153" spans="1:10" ht="14.1" customHeight="1" x14ac:dyDescent="0.25">
      <c r="A153" s="1"/>
      <c r="B153" s="277"/>
      <c r="C153" s="172" t="s">
        <v>73</v>
      </c>
      <c r="D153" s="184">
        <v>700</v>
      </c>
      <c r="E153" s="302"/>
      <c r="F153" s="302"/>
      <c r="G153" s="302"/>
      <c r="H153" s="1"/>
      <c r="I153" s="1"/>
      <c r="J153" s="117"/>
    </row>
    <row r="154" spans="1:10" ht="14.1" customHeight="1" x14ac:dyDescent="0.25">
      <c r="A154" s="1"/>
      <c r="B154" s="277"/>
      <c r="C154" s="172" t="s">
        <v>49</v>
      </c>
      <c r="D154" s="184">
        <v>19000</v>
      </c>
      <c r="E154" s="302"/>
      <c r="F154" s="302"/>
      <c r="G154" s="302"/>
      <c r="H154" s="1"/>
      <c r="I154" s="1"/>
      <c r="J154" s="117"/>
    </row>
    <row r="155" spans="1:10" ht="14.1" customHeight="1" x14ac:dyDescent="0.25">
      <c r="A155" s="1"/>
      <c r="B155" s="277"/>
      <c r="C155" s="1"/>
      <c r="D155" s="45"/>
      <c r="E155" s="302"/>
      <c r="F155" s="302"/>
      <c r="G155" s="302"/>
      <c r="H155" s="1"/>
      <c r="I155" s="1"/>
      <c r="J155" s="117"/>
    </row>
    <row r="156" spans="1:10" ht="3.75" customHeight="1" x14ac:dyDescent="0.25">
      <c r="A156" s="1"/>
      <c r="B156" s="264"/>
      <c r="C156" s="154"/>
      <c r="D156" s="154"/>
      <c r="E156" s="289"/>
      <c r="F156" s="289"/>
      <c r="G156" s="289"/>
      <c r="H156" s="256"/>
      <c r="I156" s="256"/>
      <c r="J156" s="268"/>
    </row>
    <row r="157" spans="1:10" ht="24.75" customHeight="1" x14ac:dyDescent="0.25">
      <c r="A157" s="1"/>
      <c r="B157" s="277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25">
      <c r="A158" s="1"/>
      <c r="B158" s="193"/>
      <c r="C158" s="247"/>
      <c r="D158" s="247"/>
      <c r="E158" s="247"/>
      <c r="F158" s="247"/>
      <c r="G158" s="247"/>
      <c r="H158" s="247"/>
      <c r="I158" s="247"/>
      <c r="J158" s="13"/>
    </row>
    <row r="159" spans="1:10" ht="61.5" customHeight="1" x14ac:dyDescent="0.25">
      <c r="A159" s="152"/>
      <c r="B159" s="50"/>
      <c r="C159" s="14" t="s">
        <v>16</v>
      </c>
      <c r="D159" s="170" t="s">
        <v>2</v>
      </c>
      <c r="E159" s="14" t="s">
        <v>162</v>
      </c>
      <c r="F159" s="14" t="s">
        <v>163</v>
      </c>
      <c r="G159" s="52" t="s">
        <v>164</v>
      </c>
      <c r="H159" s="14" t="s">
        <v>165</v>
      </c>
      <c r="I159" s="152"/>
      <c r="J159" s="301"/>
    </row>
    <row r="160" spans="1:10" ht="14.1" customHeight="1" x14ac:dyDescent="0.25">
      <c r="A160" s="1"/>
      <c r="B160" s="277"/>
      <c r="C160" s="138" t="s">
        <v>74</v>
      </c>
      <c r="D160" s="91">
        <v>3762</v>
      </c>
      <c r="E160" s="297">
        <f>53.13606</f>
        <v>53.136060000000001</v>
      </c>
      <c r="F160" s="297">
        <f>637.02268</f>
        <v>637.02268000000004</v>
      </c>
      <c r="G160" s="42">
        <f>D160-F160-F161</f>
        <v>2172.31061</v>
      </c>
      <c r="H160" s="297">
        <f>538.30052</f>
        <v>538.30052000000001</v>
      </c>
      <c r="I160" s="1"/>
      <c r="J160" s="117"/>
    </row>
    <row r="161" spans="1:10" ht="14.1" customHeight="1" x14ac:dyDescent="0.25">
      <c r="A161" s="1"/>
      <c r="B161" s="277"/>
      <c r="C161" s="133" t="s">
        <v>53</v>
      </c>
      <c r="D161" s="175"/>
      <c r="E161" s="148">
        <f>102.34408</f>
        <v>102.34408000000001</v>
      </c>
      <c r="F161" s="148">
        <f>952.66671</f>
        <v>952.66670999999997</v>
      </c>
      <c r="G161" s="219"/>
      <c r="H161" s="148">
        <f>1168.92722</f>
        <v>1168.92722</v>
      </c>
      <c r="I161" s="1"/>
      <c r="J161" s="117"/>
    </row>
    <row r="162" spans="1:10" ht="15.6" customHeight="1" x14ac:dyDescent="0.25">
      <c r="A162" s="1"/>
      <c r="B162" s="277"/>
      <c r="C162" s="163" t="s">
        <v>75</v>
      </c>
      <c r="D162" s="95">
        <v>200</v>
      </c>
      <c r="E162" s="166">
        <f>0</f>
        <v>0</v>
      </c>
      <c r="F162" s="166">
        <f>55.14434</f>
        <v>55.14434</v>
      </c>
      <c r="G162" s="166">
        <f>D162-F162</f>
        <v>144.85566</v>
      </c>
      <c r="H162" s="166">
        <f>82.16938</f>
        <v>82.169380000000004</v>
      </c>
      <c r="I162" s="1"/>
      <c r="J162" s="117"/>
    </row>
    <row r="163" spans="1:10" ht="14.1" customHeight="1" x14ac:dyDescent="0.25">
      <c r="A163" s="65"/>
      <c r="B163" s="75"/>
      <c r="C163" s="174" t="s">
        <v>76</v>
      </c>
      <c r="D163" s="175">
        <v>5642</v>
      </c>
      <c r="E163" s="175">
        <f>E164+E165+E166</f>
        <v>584.67088000000001</v>
      </c>
      <c r="F163" s="175">
        <f>F164+F165+F166</f>
        <v>4024.29306</v>
      </c>
      <c r="G163" s="175">
        <f>D163-F163</f>
        <v>1617.70694</v>
      </c>
      <c r="H163" s="175">
        <f>H164+H165+H166</f>
        <v>3792.9415400000003</v>
      </c>
      <c r="I163" s="65"/>
      <c r="J163" s="111"/>
    </row>
    <row r="164" spans="1:10" ht="14.1" customHeight="1" x14ac:dyDescent="0.25">
      <c r="A164" s="192"/>
      <c r="B164" s="176"/>
      <c r="C164" s="177" t="s">
        <v>77</v>
      </c>
      <c r="D164" s="123"/>
      <c r="E164" s="123">
        <f>420.99892</f>
        <v>420.99892</v>
      </c>
      <c r="F164" s="123">
        <f>2195.09783</f>
        <v>2195.0978300000002</v>
      </c>
      <c r="G164" s="123"/>
      <c r="H164" s="123">
        <f>1837.44518</f>
        <v>1837.4451799999999</v>
      </c>
      <c r="I164" s="181"/>
      <c r="J164" s="126"/>
    </row>
    <row r="165" spans="1:10" ht="14.1" customHeight="1" x14ac:dyDescent="0.25">
      <c r="A165" s="192"/>
      <c r="B165" s="176"/>
      <c r="C165" s="177" t="s">
        <v>78</v>
      </c>
      <c r="D165" s="123"/>
      <c r="E165" s="123">
        <f>114.49096</f>
        <v>114.49096</v>
      </c>
      <c r="F165" s="123">
        <f>1246.90545</f>
        <v>1246.90545</v>
      </c>
      <c r="G165" s="123"/>
      <c r="H165" s="123">
        <f>1192.73054</f>
        <v>1192.73054</v>
      </c>
      <c r="I165" s="181"/>
      <c r="J165" s="182"/>
    </row>
    <row r="166" spans="1:10" ht="14.1" customHeight="1" x14ac:dyDescent="0.25">
      <c r="A166" s="192"/>
      <c r="B166" s="176"/>
      <c r="C166" s="183" t="s">
        <v>79</v>
      </c>
      <c r="D166" s="186"/>
      <c r="E166" s="186">
        <f>49.181</f>
        <v>49.180999999999997</v>
      </c>
      <c r="F166" s="186">
        <f>582.28978</f>
        <v>582.28977999999995</v>
      </c>
      <c r="G166" s="186"/>
      <c r="H166" s="186">
        <f>762.76582</f>
        <v>762.76581999999996</v>
      </c>
      <c r="I166" s="181"/>
      <c r="J166" s="182"/>
    </row>
    <row r="167" spans="1:10" ht="14.1" customHeight="1" x14ac:dyDescent="0.25">
      <c r="A167" s="1"/>
      <c r="B167" s="277"/>
      <c r="C167" s="70" t="s">
        <v>80</v>
      </c>
      <c r="D167" s="136">
        <v>71</v>
      </c>
      <c r="E167" s="136">
        <f>0</f>
        <v>0</v>
      </c>
      <c r="F167" s="136">
        <f>5.3531</f>
        <v>5.3531000000000004</v>
      </c>
      <c r="G167" s="136">
        <f>D167-F167</f>
        <v>65.646900000000002</v>
      </c>
      <c r="H167" s="136">
        <f>0</f>
        <v>0</v>
      </c>
      <c r="I167" s="173"/>
      <c r="J167" s="267"/>
    </row>
    <row r="168" spans="1:10" ht="16.5" customHeight="1" x14ac:dyDescent="0.25">
      <c r="A168" s="1"/>
      <c r="B168" s="277"/>
      <c r="C168" s="89" t="s">
        <v>81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67"/>
    </row>
    <row r="169" spans="1:10" ht="19.350000000000001" customHeight="1" x14ac:dyDescent="0.25">
      <c r="A169" s="152"/>
      <c r="B169" s="50"/>
      <c r="C169" s="71" t="s">
        <v>40</v>
      </c>
      <c r="D169" s="188">
        <f>D160+D162+D163+D167</f>
        <v>9675</v>
      </c>
      <c r="E169" s="188">
        <f>E160+E161+E162+E163+E167+E168</f>
        <v>740.15102000000002</v>
      </c>
      <c r="F169" s="188">
        <f>F160+F161+F162+F163+F167+F168</f>
        <v>5674.4798900000005</v>
      </c>
      <c r="G169" s="188">
        <f>D169-F169</f>
        <v>4000.5201099999995</v>
      </c>
      <c r="H169" s="188">
        <f>H160+H161+H162+H163+H167+H168</f>
        <v>5582.3386600000003</v>
      </c>
      <c r="I169" s="159"/>
      <c r="J169" s="155"/>
    </row>
    <row r="170" spans="1:10" ht="42" customHeight="1" x14ac:dyDescent="0.25">
      <c r="A170" s="1"/>
      <c r="B170" s="193"/>
      <c r="C170" s="250" t="s">
        <v>132</v>
      </c>
      <c r="D170" s="250"/>
      <c r="E170" s="250"/>
      <c r="F170" s="250"/>
      <c r="G170" s="250"/>
      <c r="H170" s="247"/>
      <c r="I170" s="247"/>
      <c r="J170" s="13"/>
    </row>
    <row r="171" spans="1:10" ht="12" customHeight="1" x14ac:dyDescent="0.25">
      <c r="A171" s="152" t="s">
        <v>112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2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25">
      <c r="A173" s="145" t="s">
        <v>112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35">
      <c r="A174" s="145"/>
      <c r="B174" s="1"/>
      <c r="C174" s="213" t="s">
        <v>82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35">
      <c r="A175" s="145" t="s">
        <v>112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25">
      <c r="A176" s="145"/>
      <c r="B176" s="134"/>
      <c r="C176" s="249"/>
      <c r="D176" s="260"/>
      <c r="E176" s="260"/>
      <c r="F176" s="260"/>
      <c r="G176" s="260"/>
      <c r="H176" s="150"/>
      <c r="I176" s="150"/>
      <c r="J176" s="158"/>
    </row>
    <row r="177" spans="1:10" ht="15" customHeight="1" x14ac:dyDescent="0.25">
      <c r="A177" s="145"/>
      <c r="B177" s="277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25">
      <c r="A178" s="145"/>
      <c r="B178" s="277"/>
      <c r="C178" s="281" t="s">
        <v>83</v>
      </c>
      <c r="D178" s="292">
        <v>44278</v>
      </c>
      <c r="E178" s="145"/>
      <c r="F178" s="145"/>
      <c r="G178" s="164"/>
      <c r="H178" s="1"/>
      <c r="I178" s="1"/>
      <c r="J178" s="117"/>
    </row>
    <row r="179" spans="1:10" ht="15" customHeight="1" x14ac:dyDescent="0.25">
      <c r="A179" s="145"/>
      <c r="B179" s="277"/>
      <c r="C179" s="271" t="s">
        <v>84</v>
      </c>
      <c r="D179" s="46">
        <v>15194</v>
      </c>
      <c r="E179" s="145"/>
      <c r="F179" s="145"/>
      <c r="G179" s="164"/>
      <c r="H179" s="1"/>
      <c r="I179" s="1"/>
      <c r="J179" s="117"/>
    </row>
    <row r="180" spans="1:10" ht="18" customHeight="1" x14ac:dyDescent="0.25">
      <c r="A180" s="145"/>
      <c r="B180" s="277"/>
      <c r="C180" s="271" t="s">
        <v>85</v>
      </c>
      <c r="D180" s="46">
        <v>6719</v>
      </c>
      <c r="E180" s="145"/>
      <c r="F180" s="145"/>
      <c r="G180" s="164"/>
      <c r="H180" s="1"/>
      <c r="I180" s="1"/>
      <c r="J180" s="117"/>
    </row>
    <row r="181" spans="1:10" ht="11.25" customHeight="1" x14ac:dyDescent="0.25">
      <c r="A181" s="145"/>
      <c r="B181" s="277"/>
      <c r="C181" s="57" t="s">
        <v>49</v>
      </c>
      <c r="D181" s="35">
        <v>67191</v>
      </c>
      <c r="E181" s="145"/>
      <c r="F181" s="145"/>
      <c r="G181" s="164"/>
      <c r="H181" s="1"/>
      <c r="I181" s="1"/>
      <c r="J181" s="117"/>
    </row>
    <row r="182" spans="1:10" ht="12" customHeight="1" x14ac:dyDescent="0.25">
      <c r="A182" s="1"/>
      <c r="B182" s="277"/>
      <c r="C182" s="101" t="s">
        <v>133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25">
      <c r="A183" s="1"/>
      <c r="B183" s="277"/>
      <c r="C183" s="101" t="s">
        <v>134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25">
      <c r="A184" s="1"/>
      <c r="B184" s="277"/>
      <c r="C184" s="101" t="s">
        <v>135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25">
      <c r="A185" s="1"/>
      <c r="B185" s="264"/>
      <c r="C185" s="289"/>
      <c r="D185" s="154"/>
      <c r="E185" s="154"/>
      <c r="F185" s="289"/>
      <c r="G185" s="289"/>
      <c r="H185" s="289"/>
      <c r="I185" s="256"/>
      <c r="J185" s="268"/>
    </row>
    <row r="186" spans="1:10" ht="23.25" customHeight="1" x14ac:dyDescent="0.25">
      <c r="A186" s="1"/>
      <c r="B186" s="277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25">
      <c r="A187" s="1"/>
      <c r="B187" s="277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25">
      <c r="A188" s="1"/>
      <c r="B188" s="277"/>
      <c r="C188" s="68" t="s">
        <v>16</v>
      </c>
      <c r="D188" s="210" t="s">
        <v>2</v>
      </c>
      <c r="E188" s="14" t="s">
        <v>140</v>
      </c>
      <c r="F188" s="68" t="s">
        <v>162</v>
      </c>
      <c r="G188" s="68" t="s">
        <v>163</v>
      </c>
      <c r="H188" s="68" t="s">
        <v>164</v>
      </c>
      <c r="I188" s="68" t="s">
        <v>165</v>
      </c>
      <c r="J188" s="117"/>
    </row>
    <row r="189" spans="1:10" ht="15" customHeight="1" x14ac:dyDescent="0.25">
      <c r="A189" s="1"/>
      <c r="B189" s="277"/>
      <c r="C189" s="90" t="s">
        <v>4</v>
      </c>
      <c r="D189" s="124">
        <v>44142</v>
      </c>
      <c r="E189" s="124">
        <v>43335</v>
      </c>
      <c r="F189" s="124">
        <f>2691.36645</f>
        <v>2691.36645</v>
      </c>
      <c r="G189" s="124">
        <f>35461.36093</f>
        <v>35461.360930000003</v>
      </c>
      <c r="H189" s="124">
        <f>D189-G189</f>
        <v>8680.6390699999974</v>
      </c>
      <c r="I189" s="124">
        <f>30539.70434</f>
        <v>30539.70434</v>
      </c>
      <c r="J189" s="117"/>
    </row>
    <row r="190" spans="1:10" ht="15" customHeight="1" x14ac:dyDescent="0.25">
      <c r="A190" s="1"/>
      <c r="B190" s="277"/>
      <c r="C190" s="90" t="s">
        <v>67</v>
      </c>
      <c r="D190" s="124">
        <v>100</v>
      </c>
      <c r="E190" s="124">
        <v>100</v>
      </c>
      <c r="F190" s="124">
        <f>10.26303</f>
        <v>10.263030000000001</v>
      </c>
      <c r="G190" s="124">
        <f>29.37685</f>
        <v>29.376850000000001</v>
      </c>
      <c r="H190" s="124">
        <f>D190-G190</f>
        <v>70.623149999999995</v>
      </c>
      <c r="I190" s="124">
        <f>24.21758</f>
        <v>24.217580000000002</v>
      </c>
      <c r="J190" s="117"/>
    </row>
    <row r="191" spans="1:10" ht="15.75" customHeight="1" x14ac:dyDescent="0.25">
      <c r="A191" s="1"/>
      <c r="B191" s="277"/>
      <c r="C191" s="146" t="s">
        <v>80</v>
      </c>
      <c r="D191" s="168">
        <v>36</v>
      </c>
      <c r="E191" s="168">
        <v>36</v>
      </c>
      <c r="F191" s="136">
        <f>0</f>
        <v>0</v>
      </c>
      <c r="G191" s="136">
        <f>0</f>
        <v>0</v>
      </c>
      <c r="H191" s="136">
        <f>D191-G191</f>
        <v>36</v>
      </c>
      <c r="I191" s="136">
        <f>0</f>
        <v>0</v>
      </c>
      <c r="J191" s="117"/>
    </row>
    <row r="192" spans="1:10" ht="16.5" customHeight="1" x14ac:dyDescent="0.25">
      <c r="A192" s="1"/>
      <c r="B192" s="277"/>
      <c r="C192" s="179" t="s">
        <v>86</v>
      </c>
      <c r="D192" s="190">
        <f>SUM(D189:D191)</f>
        <v>44278</v>
      </c>
      <c r="E192" s="190">
        <f>SUM(E189:E191)</f>
        <v>43471</v>
      </c>
      <c r="F192" s="190">
        <f>SUM(F189:F191)</f>
        <v>2701.6294800000001</v>
      </c>
      <c r="G192" s="190">
        <f>SUM(G189:G191)</f>
        <v>35490.737780000003</v>
      </c>
      <c r="H192" s="190">
        <f>D192-G192</f>
        <v>8787.2622199999969</v>
      </c>
      <c r="I192" s="190">
        <f>SUM(I189:I191)</f>
        <v>30563.921920000001</v>
      </c>
      <c r="J192" s="117"/>
    </row>
    <row r="193" spans="1:10" ht="12" customHeight="1" x14ac:dyDescent="0.25">
      <c r="A193" s="1"/>
      <c r="B193" s="277"/>
      <c r="C193" s="101" t="s">
        <v>87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25">
      <c r="A194" s="1"/>
      <c r="B194" s="160"/>
      <c r="C194" s="104" t="s">
        <v>141</v>
      </c>
      <c r="D194" s="104"/>
      <c r="E194" s="104"/>
      <c r="F194" s="207"/>
      <c r="G194" s="207"/>
      <c r="H194" s="207"/>
      <c r="I194" s="207"/>
      <c r="J194" s="214"/>
    </row>
    <row r="195" spans="1:10" ht="16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35">
      <c r="A196" s="145"/>
      <c r="B196" s="1"/>
      <c r="C196" s="213" t="s">
        <v>113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35">
      <c r="A197" s="145" t="s">
        <v>112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25">
      <c r="A198" s="145"/>
      <c r="B198" s="134"/>
      <c r="C198" s="249"/>
      <c r="D198" s="260"/>
      <c r="E198" s="260"/>
      <c r="F198" s="260"/>
      <c r="G198" s="260"/>
      <c r="H198" s="150"/>
      <c r="I198" s="150"/>
      <c r="J198" s="158"/>
    </row>
    <row r="199" spans="1:10" ht="23.25" customHeight="1" x14ac:dyDescent="0.25">
      <c r="A199" s="1"/>
      <c r="B199" s="277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25">
      <c r="A200" s="1"/>
      <c r="B200" s="277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25">
      <c r="A201" s="1"/>
      <c r="B201" s="277"/>
      <c r="C201" s="68" t="s">
        <v>16</v>
      </c>
      <c r="D201" s="79" t="s">
        <v>2</v>
      </c>
      <c r="E201" s="68" t="s">
        <v>162</v>
      </c>
      <c r="F201" s="68" t="s">
        <v>163</v>
      </c>
      <c r="G201" s="68" t="s">
        <v>164</v>
      </c>
      <c r="H201" s="68" t="s">
        <v>165</v>
      </c>
      <c r="I201" s="1"/>
      <c r="J201" s="117"/>
    </row>
    <row r="202" spans="1:10" ht="15" customHeight="1" x14ac:dyDescent="0.25">
      <c r="A202" s="1"/>
      <c r="B202" s="277"/>
      <c r="C202" s="90" t="s">
        <v>116</v>
      </c>
      <c r="D202" s="124">
        <v>3987</v>
      </c>
      <c r="E202" s="72">
        <f>E203+E204</f>
        <v>15.4374</v>
      </c>
      <c r="F202" s="72">
        <f>F203+F204</f>
        <v>2642.5847900000003</v>
      </c>
      <c r="G202" s="72">
        <f>D202-F202</f>
        <v>1344.4152099999997</v>
      </c>
      <c r="H202" s="72">
        <f>H203+H204</f>
        <v>2968.3217399999999</v>
      </c>
      <c r="I202" s="271"/>
      <c r="J202" s="117"/>
    </row>
    <row r="203" spans="1:10" ht="15" customHeight="1" x14ac:dyDescent="0.25">
      <c r="A203" s="1"/>
      <c r="B203" s="277"/>
      <c r="C203" s="172" t="s">
        <v>8</v>
      </c>
      <c r="D203" s="124"/>
      <c r="E203" s="72">
        <f>10.86756</f>
        <v>10.867559999999999</v>
      </c>
      <c r="F203" s="72">
        <f>2114.10348</f>
        <v>2114.1034800000002</v>
      </c>
      <c r="G203" s="72"/>
      <c r="H203" s="72">
        <f>2486.41455</f>
        <v>2486.41455</v>
      </c>
      <c r="I203" s="271"/>
      <c r="J203" s="117"/>
    </row>
    <row r="204" spans="1:10" ht="15" customHeight="1" x14ac:dyDescent="0.25">
      <c r="A204" s="1"/>
      <c r="B204" s="277"/>
      <c r="C204" s="172" t="s">
        <v>67</v>
      </c>
      <c r="D204" s="124"/>
      <c r="E204" s="124">
        <f>4.56984</f>
        <v>4.5698400000000001</v>
      </c>
      <c r="F204" s="124">
        <f>528.48131</f>
        <v>528.48131000000001</v>
      </c>
      <c r="G204" s="168"/>
      <c r="H204" s="124">
        <f>481.90719</f>
        <v>481.90719000000001</v>
      </c>
      <c r="I204" s="271"/>
      <c r="J204" s="117"/>
    </row>
    <row r="205" spans="1:10" ht="15" customHeight="1" x14ac:dyDescent="0.25">
      <c r="A205" s="1"/>
      <c r="B205" s="277"/>
      <c r="C205" s="90" t="s">
        <v>117</v>
      </c>
      <c r="D205" s="124">
        <v>4613</v>
      </c>
      <c r="E205" s="72">
        <f>158.64117</f>
        <v>158.64116999999999</v>
      </c>
      <c r="F205" s="72">
        <f>3948.76048</f>
        <v>3948.7604799999999</v>
      </c>
      <c r="G205" s="72">
        <f>D205-F205</f>
        <v>664.23952000000008</v>
      </c>
      <c r="H205" s="72">
        <f>4426.44107</f>
        <v>4426.4410699999999</v>
      </c>
      <c r="I205" s="271"/>
      <c r="J205" s="117"/>
    </row>
    <row r="206" spans="1:10" ht="16.5" customHeight="1" x14ac:dyDescent="0.25">
      <c r="A206" s="1"/>
      <c r="B206" s="277"/>
      <c r="C206" s="179" t="s">
        <v>86</v>
      </c>
      <c r="D206" s="190">
        <f>D205+D202</f>
        <v>8600</v>
      </c>
      <c r="E206" s="190">
        <f>SUM(E202,E205)</f>
        <v>174.07856999999998</v>
      </c>
      <c r="F206" s="190">
        <f>SUM(F202,F205)</f>
        <v>6591.3452699999998</v>
      </c>
      <c r="G206" s="190">
        <f>D206-F206</f>
        <v>2008.6547300000002</v>
      </c>
      <c r="H206" s="190">
        <f>SUM(H202,H205)</f>
        <v>7394.7628100000002</v>
      </c>
      <c r="I206" s="271"/>
      <c r="J206" s="117"/>
    </row>
    <row r="207" spans="1:10" ht="19.5" customHeight="1" x14ac:dyDescent="0.2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6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35">
      <c r="A209" s="145"/>
      <c r="B209" s="1"/>
      <c r="C209" s="213" t="s">
        <v>114</v>
      </c>
      <c r="D209" s="164"/>
      <c r="E209" s="164"/>
      <c r="F209" s="164"/>
      <c r="G209" s="164"/>
      <c r="H209" s="1"/>
      <c r="I209" s="1"/>
      <c r="J209" s="1"/>
    </row>
    <row r="210" spans="1:10" ht="21.75" customHeight="1" x14ac:dyDescent="0.35">
      <c r="A210" s="145" t="s">
        <v>112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25">
      <c r="A211" s="145"/>
      <c r="B211" s="134"/>
      <c r="C211" s="249"/>
      <c r="D211" s="260"/>
      <c r="E211" s="260"/>
      <c r="F211" s="260"/>
      <c r="G211" s="260"/>
      <c r="H211" s="150"/>
      <c r="I211" s="150"/>
      <c r="J211" s="158"/>
    </row>
    <row r="212" spans="1:10" ht="23.25" customHeight="1" x14ac:dyDescent="0.25">
      <c r="A212" s="1"/>
      <c r="B212" s="277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25">
      <c r="A213" s="1"/>
      <c r="B213" s="277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25">
      <c r="A214" s="1"/>
      <c r="B214" s="277"/>
      <c r="C214" s="68" t="s">
        <v>16</v>
      </c>
      <c r="D214" s="79" t="s">
        <v>2</v>
      </c>
      <c r="E214" s="68" t="s">
        <v>162</v>
      </c>
      <c r="F214" s="68" t="s">
        <v>163</v>
      </c>
      <c r="G214" s="68" t="s">
        <v>164</v>
      </c>
      <c r="H214" s="68" t="s">
        <v>165</v>
      </c>
      <c r="I214" s="1"/>
      <c r="J214" s="117"/>
    </row>
    <row r="215" spans="1:10" ht="15" customHeight="1" x14ac:dyDescent="0.25">
      <c r="A215" s="1"/>
      <c r="B215" s="277"/>
      <c r="C215" s="90" t="s">
        <v>116</v>
      </c>
      <c r="D215" s="124">
        <v>5090</v>
      </c>
      <c r="E215" s="72">
        <f>E216+E217</f>
        <v>58.658239999999999</v>
      </c>
      <c r="F215" s="72">
        <f>F216+F217</f>
        <v>3144.5618800000002</v>
      </c>
      <c r="G215" s="72">
        <f>D215-F215</f>
        <v>1945.4381199999998</v>
      </c>
      <c r="H215" s="72">
        <f>H216+H217</f>
        <v>3369.4891899999998</v>
      </c>
      <c r="I215" s="271"/>
      <c r="J215" s="117"/>
    </row>
    <row r="216" spans="1:10" ht="15" customHeight="1" x14ac:dyDescent="0.25">
      <c r="A216" s="1"/>
      <c r="B216" s="277"/>
      <c r="C216" s="172" t="s">
        <v>8</v>
      </c>
      <c r="D216" s="124"/>
      <c r="E216" s="72">
        <f>56.29486</f>
        <v>56.29486</v>
      </c>
      <c r="F216" s="72">
        <f>2862.42985</f>
        <v>2862.42985</v>
      </c>
      <c r="G216" s="72"/>
      <c r="H216" s="72">
        <f>2956.01446</f>
        <v>2956.0144599999999</v>
      </c>
      <c r="I216" s="271"/>
      <c r="J216" s="117"/>
    </row>
    <row r="217" spans="1:10" ht="15" customHeight="1" x14ac:dyDescent="0.25">
      <c r="A217" s="1"/>
      <c r="B217" s="277"/>
      <c r="C217" s="172" t="s">
        <v>67</v>
      </c>
      <c r="D217" s="124"/>
      <c r="E217" s="124">
        <f>2.36338</f>
        <v>2.3633799999999998</v>
      </c>
      <c r="F217" s="124">
        <f>282.13203</f>
        <v>282.13202999999999</v>
      </c>
      <c r="G217" s="168"/>
      <c r="H217" s="124">
        <f>413.47473</f>
        <v>413.47473000000002</v>
      </c>
      <c r="I217" s="271"/>
      <c r="J217" s="117"/>
    </row>
    <row r="218" spans="1:10" ht="15" customHeight="1" x14ac:dyDescent="0.25">
      <c r="A218" s="1"/>
      <c r="B218" s="277"/>
      <c r="C218" s="90" t="s">
        <v>117</v>
      </c>
      <c r="D218" s="124">
        <v>2981</v>
      </c>
      <c r="E218" s="72">
        <f>47.43916</f>
        <v>47.439160000000001</v>
      </c>
      <c r="F218" s="72">
        <f>1571.14527</f>
        <v>1571.14527</v>
      </c>
      <c r="G218" s="72">
        <f>D218-F218</f>
        <v>1409.85473</v>
      </c>
      <c r="H218" s="72">
        <f>1915.46603</f>
        <v>1915.46603</v>
      </c>
      <c r="I218" s="271"/>
      <c r="J218" s="117"/>
    </row>
    <row r="219" spans="1:10" ht="16.5" customHeight="1" x14ac:dyDescent="0.25">
      <c r="A219" s="1"/>
      <c r="B219" s="277"/>
      <c r="C219" s="179" t="s">
        <v>86</v>
      </c>
      <c r="D219" s="190">
        <f>D218+D215</f>
        <v>8071</v>
      </c>
      <c r="E219" s="190">
        <f>SUM(E215,E218)</f>
        <v>106.09739999999999</v>
      </c>
      <c r="F219" s="190">
        <f>SUM(F215,F218)</f>
        <v>4715.7071500000002</v>
      </c>
      <c r="G219" s="190">
        <f>D219-F219</f>
        <v>3355.2928499999998</v>
      </c>
      <c r="H219" s="190">
        <f>SUM(H215,H218)</f>
        <v>5284.9552199999998</v>
      </c>
      <c r="I219" s="271"/>
      <c r="J219" s="117"/>
    </row>
    <row r="220" spans="1:10" ht="19.5" customHeight="1" x14ac:dyDescent="0.2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1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25">
      <c r="A222" s="223"/>
      <c r="B222" s="223"/>
      <c r="C222" s="233" t="s">
        <v>88</v>
      </c>
      <c r="D222" s="223"/>
      <c r="E222" s="223"/>
      <c r="F222" s="223"/>
      <c r="G222" s="223"/>
      <c r="H222" s="223"/>
      <c r="I222" s="223"/>
      <c r="J222" s="247"/>
    </row>
    <row r="223" spans="1:10" ht="21.75" customHeight="1" x14ac:dyDescent="0.25">
      <c r="A223" s="223" t="s">
        <v>112</v>
      </c>
      <c r="B223" s="223"/>
      <c r="C223" s="233"/>
      <c r="D223" s="223"/>
      <c r="E223" s="223"/>
      <c r="F223" s="223"/>
      <c r="G223" s="223"/>
      <c r="H223" s="223"/>
      <c r="I223" s="223"/>
      <c r="J223" s="247"/>
    </row>
    <row r="224" spans="1:10" ht="14.1" customHeight="1" x14ac:dyDescent="0.2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" customHeight="1" x14ac:dyDescent="0.2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" customHeight="1" x14ac:dyDescent="0.25">
      <c r="A226" s="1"/>
      <c r="B226" s="277"/>
      <c r="C226" s="281" t="s">
        <v>83</v>
      </c>
      <c r="D226" s="292">
        <v>3003</v>
      </c>
      <c r="E226" s="145"/>
      <c r="F226" s="248"/>
      <c r="G226" s="1"/>
      <c r="H226" s="1"/>
      <c r="I226" s="1"/>
      <c r="J226" s="117"/>
    </row>
    <row r="227" spans="1:10" ht="14.1" customHeight="1" x14ac:dyDescent="0.25">
      <c r="A227" s="1"/>
      <c r="B227" s="277"/>
      <c r="C227" s="271" t="s">
        <v>89</v>
      </c>
      <c r="D227" s="46">
        <v>9419</v>
      </c>
      <c r="E227" s="145"/>
      <c r="F227" s="248"/>
      <c r="G227" s="1"/>
      <c r="H227" s="1"/>
      <c r="I227" s="1"/>
      <c r="J227" s="117"/>
    </row>
    <row r="228" spans="1:10" ht="14.1" customHeight="1" x14ac:dyDescent="0.25">
      <c r="A228" s="1"/>
      <c r="B228" s="277"/>
      <c r="C228" s="271" t="s">
        <v>90</v>
      </c>
      <c r="D228" s="46">
        <v>7106</v>
      </c>
      <c r="E228" s="145"/>
      <c r="F228" s="248"/>
      <c r="G228" s="1"/>
      <c r="H228" s="1"/>
      <c r="I228" s="1"/>
      <c r="J228" s="117"/>
    </row>
    <row r="229" spans="1:10" ht="13.5" customHeight="1" x14ac:dyDescent="0.25">
      <c r="A229" s="1"/>
      <c r="B229" s="277"/>
      <c r="C229" s="271" t="s">
        <v>118</v>
      </c>
      <c r="D229" s="46">
        <v>382</v>
      </c>
      <c r="E229" s="145"/>
      <c r="F229" s="248"/>
      <c r="G229" s="1"/>
      <c r="H229" s="1"/>
      <c r="I229" s="1"/>
      <c r="J229" s="117"/>
    </row>
    <row r="230" spans="1:10" ht="14.25" customHeight="1" x14ac:dyDescent="0.25">
      <c r="A230" s="1"/>
      <c r="B230" s="277"/>
      <c r="C230" s="57" t="s">
        <v>49</v>
      </c>
      <c r="D230" s="35">
        <f>SUM(D226:D229)</f>
        <v>19910</v>
      </c>
      <c r="E230" s="145"/>
      <c r="F230" s="145"/>
      <c r="G230" s="1"/>
      <c r="H230" s="1"/>
      <c r="I230" s="1"/>
      <c r="J230" s="117"/>
    </row>
    <row r="231" spans="1:10" ht="14.1" customHeight="1" x14ac:dyDescent="0.25">
      <c r="A231" s="1"/>
      <c r="B231" s="277"/>
      <c r="C231" s="251" t="s">
        <v>91</v>
      </c>
      <c r="D231" s="252"/>
      <c r="E231" s="173"/>
      <c r="F231" s="173"/>
      <c r="G231" s="1"/>
      <c r="H231" s="1"/>
      <c r="I231" s="1"/>
      <c r="J231" s="117"/>
    </row>
    <row r="232" spans="1:10" ht="15" customHeight="1" x14ac:dyDescent="0.25">
      <c r="A232" s="1"/>
      <c r="B232" s="277"/>
      <c r="C232" s="101" t="s">
        <v>101</v>
      </c>
      <c r="D232" s="253"/>
      <c r="E232" s="1"/>
      <c r="F232" s="1"/>
      <c r="G232" s="1"/>
      <c r="H232" s="1"/>
      <c r="I232" s="1"/>
      <c r="J232" s="117"/>
    </row>
    <row r="233" spans="1:10" ht="14.25" customHeight="1" x14ac:dyDescent="0.25">
      <c r="A233" s="1"/>
      <c r="B233" s="277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25">
      <c r="A234" s="1"/>
      <c r="B234" s="254"/>
      <c r="C234" s="257" t="s">
        <v>15</v>
      </c>
      <c r="D234" s="257"/>
      <c r="E234" s="257"/>
      <c r="F234" s="257"/>
      <c r="G234" s="257"/>
      <c r="H234" s="257"/>
      <c r="I234" s="257"/>
      <c r="J234" s="261"/>
    </row>
    <row r="235" spans="1:10" ht="14.1" customHeight="1" x14ac:dyDescent="0.25">
      <c r="A235" s="1"/>
      <c r="B235" s="263"/>
      <c r="C235" s="265"/>
      <c r="D235" s="265"/>
      <c r="E235" s="265"/>
      <c r="F235" s="265"/>
      <c r="G235" s="265"/>
      <c r="H235" s="265"/>
      <c r="I235" s="265"/>
      <c r="J235" s="117"/>
    </row>
    <row r="236" spans="1:10" ht="54" customHeight="1" x14ac:dyDescent="0.25">
      <c r="A236" s="1"/>
      <c r="B236" s="277"/>
      <c r="C236" s="68" t="s">
        <v>16</v>
      </c>
      <c r="D236" s="266" t="s">
        <v>2</v>
      </c>
      <c r="E236" s="68" t="s">
        <v>162</v>
      </c>
      <c r="F236" s="68" t="s">
        <v>163</v>
      </c>
      <c r="G236" s="68" t="s">
        <v>164</v>
      </c>
      <c r="H236" s="68" t="s">
        <v>165</v>
      </c>
      <c r="I236" s="1"/>
      <c r="J236" s="111"/>
    </row>
    <row r="237" spans="1:10" ht="14.1" customHeight="1" x14ac:dyDescent="0.25">
      <c r="A237" s="65"/>
      <c r="B237" s="75"/>
      <c r="C237" s="90" t="s">
        <v>92</v>
      </c>
      <c r="D237" s="124">
        <v>800</v>
      </c>
      <c r="E237" s="124">
        <f>12.65361</f>
        <v>12.65361</v>
      </c>
      <c r="F237" s="124">
        <f>237.99666</f>
        <v>237.99665999999999</v>
      </c>
      <c r="G237" s="124">
        <f>D237-F237</f>
        <v>562.00333999999998</v>
      </c>
      <c r="H237" s="124">
        <f>313.69189</f>
        <v>313.69189</v>
      </c>
      <c r="I237" s="65"/>
      <c r="J237" s="267"/>
    </row>
    <row r="238" spans="1:10" ht="14.1" customHeight="1" x14ac:dyDescent="0.25">
      <c r="A238" s="1"/>
      <c r="B238" s="277"/>
      <c r="C238" s="90" t="s">
        <v>93</v>
      </c>
      <c r="D238" s="269">
        <v>2193</v>
      </c>
      <c r="E238" s="124">
        <f>7.54267</f>
        <v>7.5426700000000002</v>
      </c>
      <c r="F238" s="124">
        <f>424.24887</f>
        <v>424.24887000000001</v>
      </c>
      <c r="G238" s="124">
        <f>D238-F238</f>
        <v>1768.7511300000001</v>
      </c>
      <c r="H238" s="124">
        <f>699.72895</f>
        <v>699.72895000000005</v>
      </c>
      <c r="I238" s="173"/>
      <c r="J238" s="111"/>
    </row>
    <row r="239" spans="1:10" ht="16.5" customHeight="1" x14ac:dyDescent="0.25">
      <c r="A239" s="65"/>
      <c r="B239" s="75"/>
      <c r="C239" s="146" t="s">
        <v>80</v>
      </c>
      <c r="D239" s="269">
        <v>10</v>
      </c>
      <c r="E239" s="168">
        <f>0.767</f>
        <v>0.76700000000000002</v>
      </c>
      <c r="F239" s="168">
        <f>0.82114</f>
        <v>0.82113999999999998</v>
      </c>
      <c r="G239" s="124">
        <f>D239-F239</f>
        <v>9.1788600000000002</v>
      </c>
      <c r="H239" s="168">
        <f>3.60962</f>
        <v>3.6096200000000001</v>
      </c>
      <c r="I239" s="65"/>
      <c r="J239" s="272"/>
    </row>
    <row r="240" spans="1:10" ht="18.75" customHeight="1" x14ac:dyDescent="0.25">
      <c r="A240" s="65"/>
      <c r="B240" s="273"/>
      <c r="C240" s="146" t="s">
        <v>94</v>
      </c>
      <c r="D240" s="245"/>
      <c r="E240" s="168">
        <f>0</f>
        <v>0</v>
      </c>
      <c r="F240" s="168">
        <f>1.92872</f>
        <v>1.92872</v>
      </c>
      <c r="G240" s="124">
        <f>D240-F240</f>
        <v>-1.92872</v>
      </c>
      <c r="H240" s="168">
        <f>0.091</f>
        <v>9.0999999999999998E-2</v>
      </c>
      <c r="I240" s="305"/>
      <c r="J240" s="117"/>
    </row>
    <row r="241" spans="1:10" ht="14.1" customHeight="1" x14ac:dyDescent="0.25">
      <c r="A241" s="1"/>
      <c r="B241" s="277"/>
      <c r="C241" s="179" t="s">
        <v>86</v>
      </c>
      <c r="D241" s="5">
        <f>D226</f>
        <v>3003</v>
      </c>
      <c r="E241" s="190">
        <f>SUM(E237:E240)</f>
        <v>20.963280000000001</v>
      </c>
      <c r="F241" s="190">
        <f>SUM(F237:F240)</f>
        <v>664.99539000000004</v>
      </c>
      <c r="G241" s="190">
        <f>D241-F241</f>
        <v>2338.00461</v>
      </c>
      <c r="H241" s="190">
        <f>H237+H238+H239+H240</f>
        <v>1017.12146</v>
      </c>
      <c r="I241" s="1"/>
      <c r="J241" s="117"/>
    </row>
    <row r="242" spans="1:10" ht="14.1" customHeight="1" x14ac:dyDescent="0.25">
      <c r="A242" s="1"/>
      <c r="B242" s="277"/>
      <c r="C242" s="20"/>
      <c r="D242" s="33"/>
      <c r="E242" s="33"/>
      <c r="F242" s="33"/>
      <c r="G242" s="33"/>
      <c r="H242" s="33"/>
      <c r="I242" s="1"/>
      <c r="J242" s="117"/>
    </row>
    <row r="243" spans="1:10" ht="14.1" customHeight="1" x14ac:dyDescent="0.2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6.5" customHeight="1" x14ac:dyDescent="0.25">
      <c r="A244" s="1"/>
      <c r="C244" s="145" t="s">
        <v>112</v>
      </c>
    </row>
    <row r="245" spans="1:10" ht="14.1" customHeight="1" x14ac:dyDescent="0.25">
      <c r="A245" s="1" t="s">
        <v>112</v>
      </c>
    </row>
    <row r="246" spans="1:10" ht="30" customHeight="1" x14ac:dyDescent="0.35">
      <c r="A246" s="223"/>
      <c r="B246" s="1"/>
      <c r="C246" s="213" t="s">
        <v>95</v>
      </c>
      <c r="D246" s="152"/>
      <c r="E246" s="1"/>
      <c r="F246" s="1"/>
      <c r="G246" s="1"/>
      <c r="H246" s="1"/>
      <c r="I246" s="1"/>
      <c r="J246" s="1"/>
    </row>
    <row r="247" spans="1:10" ht="17.100000000000001" customHeight="1" x14ac:dyDescent="0.25">
      <c r="B247" s="120"/>
      <c r="C247" s="262"/>
      <c r="D247" s="262"/>
      <c r="E247" s="262"/>
      <c r="F247" s="262"/>
      <c r="G247" s="262"/>
      <c r="H247" s="262"/>
      <c r="I247" s="262"/>
      <c r="J247" s="58"/>
    </row>
    <row r="248" spans="1:10" ht="6" customHeight="1" x14ac:dyDescent="0.2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25">
      <c r="B249" s="69"/>
      <c r="C249" s="144" t="s">
        <v>1</v>
      </c>
      <c r="D249" s="180"/>
      <c r="E249" s="144" t="s">
        <v>96</v>
      </c>
      <c r="F249" s="180"/>
      <c r="G249" s="144" t="s">
        <v>97</v>
      </c>
      <c r="H249" s="180"/>
      <c r="I249" s="145"/>
      <c r="J249" s="127"/>
    </row>
    <row r="250" spans="1:10" ht="14.25" customHeight="1" x14ac:dyDescent="0.25">
      <c r="B250" s="69"/>
      <c r="C250" s="281" t="s">
        <v>83</v>
      </c>
      <c r="D250" s="292">
        <f>37252+1500-880</f>
        <v>37872</v>
      </c>
      <c r="E250" s="275" t="s">
        <v>4</v>
      </c>
      <c r="F250" s="99">
        <v>24359</v>
      </c>
      <c r="G250" s="271" t="s">
        <v>20</v>
      </c>
      <c r="H250" s="46">
        <v>14132</v>
      </c>
      <c r="I250" s="145"/>
      <c r="J250" s="127"/>
    </row>
    <row r="251" spans="1:10" ht="14.25" customHeight="1" x14ac:dyDescent="0.25">
      <c r="B251" s="69"/>
      <c r="C251" s="271" t="s">
        <v>90</v>
      </c>
      <c r="D251" s="46">
        <f>25446+880-1500</f>
        <v>24826</v>
      </c>
      <c r="E251" s="173" t="s">
        <v>93</v>
      </c>
      <c r="F251" s="45">
        <v>8000</v>
      </c>
      <c r="G251" s="271" t="s">
        <v>21</v>
      </c>
      <c r="H251" s="46">
        <v>3678</v>
      </c>
      <c r="I251" s="145"/>
      <c r="J251" s="127"/>
    </row>
    <row r="252" spans="1:10" ht="14.25" customHeight="1" x14ac:dyDescent="0.25">
      <c r="B252" s="69"/>
      <c r="C252" s="271" t="s">
        <v>89</v>
      </c>
      <c r="D252" s="46">
        <v>8940</v>
      </c>
      <c r="E252" s="173" t="s">
        <v>59</v>
      </c>
      <c r="F252" s="45">
        <v>5500</v>
      </c>
      <c r="G252" s="271" t="s">
        <v>98</v>
      </c>
      <c r="H252" s="46">
        <v>5043</v>
      </c>
      <c r="I252" s="145"/>
      <c r="J252" s="127"/>
    </row>
    <row r="253" spans="1:10" ht="14.1" customHeight="1" x14ac:dyDescent="0.25">
      <c r="B253" s="69"/>
      <c r="C253" s="271"/>
      <c r="D253" s="46"/>
      <c r="E253" s="128"/>
      <c r="F253" s="141"/>
      <c r="G253" s="271" t="s">
        <v>99</v>
      </c>
      <c r="H253" s="46">
        <v>1506</v>
      </c>
      <c r="I253" s="145"/>
      <c r="J253" s="127"/>
    </row>
    <row r="254" spans="1:10" ht="14.1" customHeight="1" x14ac:dyDescent="0.25">
      <c r="B254" s="69"/>
      <c r="C254" s="57" t="s">
        <v>49</v>
      </c>
      <c r="D254" s="35">
        <v>71638</v>
      </c>
      <c r="E254" s="167" t="s">
        <v>100</v>
      </c>
      <c r="F254" s="35">
        <f>F250+F251+F252</f>
        <v>37859</v>
      </c>
      <c r="G254" s="57" t="s">
        <v>4</v>
      </c>
      <c r="H254" s="35">
        <f>SUM(H250:H253)</f>
        <v>24359</v>
      </c>
      <c r="I254" s="145"/>
      <c r="J254" s="127"/>
    </row>
    <row r="255" spans="1:10" ht="13.35" customHeight="1" x14ac:dyDescent="0.25">
      <c r="B255" s="69"/>
      <c r="C255" s="204" t="s">
        <v>129</v>
      </c>
      <c r="D255" s="173"/>
      <c r="E255" s="173"/>
      <c r="F255" s="173"/>
      <c r="G255" s="1"/>
      <c r="H255" s="173"/>
      <c r="I255" s="173"/>
      <c r="J255" s="267"/>
    </row>
    <row r="256" spans="1:10" ht="13.35" customHeight="1" x14ac:dyDescent="0.25">
      <c r="B256" s="69"/>
      <c r="C256" s="205" t="s">
        <v>119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2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2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25">
      <c r="B259" s="254"/>
      <c r="C259" s="257" t="s">
        <v>15</v>
      </c>
      <c r="D259" s="257"/>
      <c r="E259" s="257"/>
      <c r="F259" s="257"/>
      <c r="G259" s="257"/>
      <c r="H259" s="257"/>
      <c r="I259" s="257"/>
      <c r="J259" s="261"/>
    </row>
    <row r="260" spans="1:10" ht="18.75" customHeight="1" x14ac:dyDescent="0.25">
      <c r="B260" s="193"/>
      <c r="C260" s="247"/>
      <c r="D260" s="247"/>
      <c r="E260" s="247"/>
      <c r="F260" s="247"/>
      <c r="G260" s="247"/>
      <c r="H260" s="247"/>
      <c r="I260" s="247"/>
      <c r="J260" s="13"/>
    </row>
    <row r="261" spans="1:10" ht="64.5" customHeight="1" x14ac:dyDescent="0.25">
      <c r="B261" s="69"/>
      <c r="C261" s="246" t="s">
        <v>16</v>
      </c>
      <c r="D261" s="255" t="s">
        <v>17</v>
      </c>
      <c r="E261" s="68" t="s">
        <v>136</v>
      </c>
      <c r="F261" s="246" t="s">
        <v>162</v>
      </c>
      <c r="G261" s="246" t="s">
        <v>163</v>
      </c>
      <c r="H261" s="246" t="s">
        <v>164</v>
      </c>
      <c r="I261" s="246" t="s">
        <v>165</v>
      </c>
      <c r="J261" s="127"/>
    </row>
    <row r="262" spans="1:10" ht="14.1" customHeight="1" x14ac:dyDescent="0.25">
      <c r="A262" s="223"/>
      <c r="B262" s="69"/>
      <c r="C262" s="270" t="s">
        <v>19</v>
      </c>
      <c r="D262" s="274">
        <f t="shared" ref="D262:I262" si="17">D266+D265+D264+D263</f>
        <v>24359</v>
      </c>
      <c r="E262" s="274">
        <f t="shared" si="17"/>
        <v>27736</v>
      </c>
      <c r="F262" s="276">
        <f t="shared" si="17"/>
        <v>648.31209999999999</v>
      </c>
      <c r="G262" s="276">
        <f t="shared" si="17"/>
        <v>5147.11913</v>
      </c>
      <c r="H262" s="276">
        <f>H266+H265+H264+H263</f>
        <v>22588.880870000001</v>
      </c>
      <c r="I262" s="276">
        <f t="shared" si="17"/>
        <v>6855.0561300000008</v>
      </c>
      <c r="J262" s="127"/>
    </row>
    <row r="263" spans="1:10" ht="14.1" customHeight="1" x14ac:dyDescent="0.25">
      <c r="A263" s="223"/>
      <c r="B263" s="69"/>
      <c r="C263" s="278" t="s">
        <v>102</v>
      </c>
      <c r="D263" s="279">
        <v>14132</v>
      </c>
      <c r="E263" s="279">
        <v>16670</v>
      </c>
      <c r="F263" s="280">
        <f>189.95483</f>
        <v>189.95482999999999</v>
      </c>
      <c r="G263" s="280">
        <f>1581.32446</f>
        <v>1581.32446</v>
      </c>
      <c r="H263" s="280">
        <f t="shared" ref="H263:H267" si="18">E263-G263</f>
        <v>15088.67554</v>
      </c>
      <c r="I263" s="280">
        <f>4156.76936</f>
        <v>4156.7693600000002</v>
      </c>
      <c r="J263" s="127"/>
    </row>
    <row r="264" spans="1:10" ht="14.1" customHeight="1" x14ac:dyDescent="0.25">
      <c r="A264" s="223"/>
      <c r="B264" s="69"/>
      <c r="C264" s="282" t="s">
        <v>21</v>
      </c>
      <c r="D264" s="279">
        <v>3678</v>
      </c>
      <c r="E264" s="279">
        <v>4339</v>
      </c>
      <c r="F264" s="280">
        <f>171.315</f>
        <v>171.315</v>
      </c>
      <c r="G264" s="280">
        <f>701.78751</f>
        <v>701.78751</v>
      </c>
      <c r="H264" s="280">
        <f t="shared" si="18"/>
        <v>3637.2124899999999</v>
      </c>
      <c r="I264" s="280">
        <f>912.4407</f>
        <v>912.44069999999999</v>
      </c>
      <c r="J264" s="127"/>
    </row>
    <row r="265" spans="1:10" ht="14.1" customHeight="1" x14ac:dyDescent="0.25">
      <c r="A265" s="223"/>
      <c r="B265" s="69"/>
      <c r="C265" s="282" t="s">
        <v>99</v>
      </c>
      <c r="D265" s="279">
        <v>1506</v>
      </c>
      <c r="E265" s="279">
        <v>1571</v>
      </c>
      <c r="F265" s="280">
        <f>16.00007</f>
        <v>16.000070000000001</v>
      </c>
      <c r="G265" s="280">
        <f>995.01537</f>
        <v>995.01536999999996</v>
      </c>
      <c r="H265" s="280">
        <f t="shared" si="18"/>
        <v>575.98463000000004</v>
      </c>
      <c r="I265" s="280">
        <f>1138.54441</f>
        <v>1138.54441</v>
      </c>
      <c r="J265" s="127"/>
    </row>
    <row r="266" spans="1:10" ht="14.1" customHeight="1" x14ac:dyDescent="0.25">
      <c r="A266" s="223"/>
      <c r="B266" s="69"/>
      <c r="C266" s="284" t="s">
        <v>122</v>
      </c>
      <c r="D266" s="285">
        <v>5043</v>
      </c>
      <c r="E266" s="285">
        <v>5156</v>
      </c>
      <c r="F266" s="280">
        <f>271.0422</f>
        <v>271.04219999999998</v>
      </c>
      <c r="G266" s="280">
        <f>1868.99179</f>
        <v>1868.99179</v>
      </c>
      <c r="H266" s="280">
        <f t="shared" si="18"/>
        <v>3287.00821</v>
      </c>
      <c r="I266" s="280">
        <f>647.30166</f>
        <v>647.30165999999997</v>
      </c>
      <c r="J266" s="127"/>
    </row>
    <row r="267" spans="1:10" ht="14.1" customHeight="1" x14ac:dyDescent="0.25">
      <c r="A267" s="223"/>
      <c r="B267" s="69"/>
      <c r="C267" s="287" t="s">
        <v>59</v>
      </c>
      <c r="D267" s="288">
        <v>5500</v>
      </c>
      <c r="E267" s="288">
        <v>5500</v>
      </c>
      <c r="F267" s="290">
        <f>151.225</f>
        <v>151.22499999999999</v>
      </c>
      <c r="G267" s="290">
        <f>4094.75724</f>
        <v>4094.7572399999999</v>
      </c>
      <c r="H267" s="290">
        <f t="shared" si="18"/>
        <v>1405.2427600000001</v>
      </c>
      <c r="I267" s="290">
        <f>2029.37214</f>
        <v>2029.3721399999999</v>
      </c>
      <c r="J267" s="127"/>
    </row>
    <row r="268" spans="1:10" ht="14.1" customHeight="1" x14ac:dyDescent="0.25">
      <c r="A268" s="223"/>
      <c r="B268" s="69"/>
      <c r="C268" s="270" t="s">
        <v>22</v>
      </c>
      <c r="D268" s="274">
        <v>8000</v>
      </c>
      <c r="E268" s="274">
        <v>8000</v>
      </c>
      <c r="F268" s="291">
        <f>F270+F269</f>
        <v>12.52835</v>
      </c>
      <c r="G268" s="291">
        <f>G270+G269</f>
        <v>1284.0563500000001</v>
      </c>
      <c r="H268" s="291">
        <f>E268-G268</f>
        <v>6715.9436500000002</v>
      </c>
      <c r="I268" s="291">
        <f>I270+I269</f>
        <v>1591.97577</v>
      </c>
      <c r="J268" s="127"/>
    </row>
    <row r="269" spans="1:10" ht="14.1" customHeight="1" x14ac:dyDescent="0.25">
      <c r="A269" s="223"/>
      <c r="B269" s="69"/>
      <c r="C269" s="282" t="s">
        <v>53</v>
      </c>
      <c r="D269" s="293"/>
      <c r="E269" s="279"/>
      <c r="F269" s="280">
        <f>0</f>
        <v>0</v>
      </c>
      <c r="G269" s="280">
        <f>447.82058</f>
        <v>447.82058000000001</v>
      </c>
      <c r="H269" s="280"/>
      <c r="I269" s="280">
        <f>525.60099</f>
        <v>525.60099000000002</v>
      </c>
      <c r="J269" s="127"/>
    </row>
    <row r="270" spans="1:10" ht="14.1" customHeight="1" x14ac:dyDescent="0.25">
      <c r="A270" s="223"/>
      <c r="B270" s="69"/>
      <c r="C270" s="295" t="s">
        <v>103</v>
      </c>
      <c r="D270" s="296"/>
      <c r="E270" s="298"/>
      <c r="F270" s="299">
        <f>12.52835</f>
        <v>12.52835</v>
      </c>
      <c r="G270" s="299">
        <f>836.23577</f>
        <v>836.23577</v>
      </c>
      <c r="H270" s="299"/>
      <c r="I270" s="299">
        <f>1066.37478</f>
        <v>1066.3747800000001</v>
      </c>
      <c r="J270" s="127"/>
    </row>
    <row r="271" spans="1:10" ht="14.1" customHeight="1" x14ac:dyDescent="0.25">
      <c r="A271" s="223"/>
      <c r="B271" s="69"/>
      <c r="C271" s="287" t="s">
        <v>34</v>
      </c>
      <c r="D271" s="288">
        <v>13</v>
      </c>
      <c r="E271" s="288">
        <v>13</v>
      </c>
      <c r="F271" s="290">
        <f>0</f>
        <v>0</v>
      </c>
      <c r="G271" s="290">
        <f>0.5685</f>
        <v>0.56850000000000001</v>
      </c>
      <c r="H271" s="290">
        <f>E271-G271</f>
        <v>12.4315</v>
      </c>
      <c r="I271" s="290">
        <f>0.1164</f>
        <v>0.1164</v>
      </c>
      <c r="J271" s="127"/>
    </row>
    <row r="272" spans="1:10" ht="14.1" customHeight="1" x14ac:dyDescent="0.25">
      <c r="A272" s="223"/>
      <c r="B272" s="69"/>
      <c r="C272" s="300" t="s">
        <v>104</v>
      </c>
      <c r="D272" s="303"/>
      <c r="E272" s="304"/>
      <c r="F272" s="290">
        <f>18.72868</f>
        <v>18.728680000000001</v>
      </c>
      <c r="G272" s="290">
        <f>38.6652</f>
        <v>38.665199999999999</v>
      </c>
      <c r="H272" s="290">
        <f>E272-G272</f>
        <v>-38.665199999999999</v>
      </c>
      <c r="I272" s="290">
        <f>18.21296</f>
        <v>18.212959999999999</v>
      </c>
      <c r="J272" s="127"/>
    </row>
    <row r="273" spans="1:10" ht="19.5" customHeight="1" x14ac:dyDescent="0.25">
      <c r="A273" s="223"/>
      <c r="B273" s="69"/>
      <c r="C273" s="306" t="s">
        <v>40</v>
      </c>
      <c r="D273" s="307">
        <f>D262+D267+D268+D271+D272</f>
        <v>37872</v>
      </c>
      <c r="E273" s="307">
        <f>E262+E267+E268+E271+E272</f>
        <v>41249</v>
      </c>
      <c r="F273" s="308">
        <f t="shared" ref="F273:I273" si="19">F262+F267+F268+F271+F272</f>
        <v>830.79413000000011</v>
      </c>
      <c r="G273" s="308">
        <f t="shared" si="19"/>
        <v>10565.16642</v>
      </c>
      <c r="H273" s="308">
        <f>H262+H267+H268+H271+H272</f>
        <v>30683.833580000002</v>
      </c>
      <c r="I273" s="308">
        <f t="shared" si="19"/>
        <v>10494.733400000003</v>
      </c>
      <c r="J273" s="127"/>
    </row>
    <row r="274" spans="1:10" ht="14.1" customHeight="1" x14ac:dyDescent="0.25">
      <c r="A274" s="223"/>
      <c r="B274" s="69"/>
      <c r="C274" s="156" t="s">
        <v>105</v>
      </c>
      <c r="D274" s="310"/>
      <c r="E274" s="310"/>
      <c r="F274" s="3"/>
      <c r="G274" s="3"/>
      <c r="H274" s="4"/>
      <c r="I274" s="4"/>
      <c r="J274" s="127"/>
    </row>
    <row r="275" spans="1:10" ht="14.1" customHeight="1" x14ac:dyDescent="0.25">
      <c r="A275" s="223"/>
      <c r="B275" s="69"/>
      <c r="C275" s="101" t="s">
        <v>130</v>
      </c>
      <c r="D275" s="310"/>
      <c r="E275" s="310"/>
      <c r="F275" s="3"/>
      <c r="G275" s="3"/>
      <c r="H275" s="6"/>
      <c r="I275" s="4"/>
      <c r="J275" s="127"/>
    </row>
    <row r="276" spans="1:10" ht="14.1" customHeight="1" x14ac:dyDescent="0.25">
      <c r="A276" s="223"/>
      <c r="B276" s="69"/>
      <c r="C276" s="156" t="s">
        <v>138</v>
      </c>
      <c r="D276" s="310"/>
      <c r="E276" s="310"/>
      <c r="F276" s="3"/>
      <c r="G276" s="3"/>
      <c r="H276" s="4"/>
      <c r="I276" s="6"/>
      <c r="J276" s="127"/>
    </row>
    <row r="277" spans="1:10" ht="15.75" customHeight="1" x14ac:dyDescent="0.2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25">
      <c r="A278" s="223"/>
      <c r="B278" s="145" t="s">
        <v>112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25">
      <c r="A279" s="223"/>
      <c r="C279" s="145" t="s">
        <v>112</v>
      </c>
      <c r="D279" s="152"/>
    </row>
    <row r="280" spans="1:10" ht="14.1" customHeight="1" x14ac:dyDescent="0.25">
      <c r="A280" s="223"/>
      <c r="B280" s="120"/>
      <c r="C280" s="262"/>
      <c r="D280" s="16"/>
      <c r="E280" s="262"/>
      <c r="F280" s="262"/>
      <c r="G280" s="262"/>
      <c r="H280" s="262"/>
      <c r="I280" s="262"/>
      <c r="J280" s="58"/>
    </row>
    <row r="281" spans="1:10" ht="14.1" customHeight="1" x14ac:dyDescent="0.25">
      <c r="A281" s="223"/>
      <c r="B281" s="69"/>
      <c r="C281" s="233" t="s">
        <v>106</v>
      </c>
      <c r="D281" s="152"/>
      <c r="E281" s="145"/>
      <c r="G281" s="145"/>
      <c r="H281" s="145"/>
      <c r="I281" s="145"/>
      <c r="J281" s="127"/>
    </row>
    <row r="282" spans="1:10" ht="14.1" customHeight="1" x14ac:dyDescent="0.2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" customHeight="1" x14ac:dyDescent="0.2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" customHeight="1" x14ac:dyDescent="0.25">
      <c r="A284" s="223"/>
      <c r="B284" s="69"/>
      <c r="C284" s="281" t="s">
        <v>6</v>
      </c>
      <c r="D284" s="292">
        <v>2681</v>
      </c>
      <c r="E284" s="145"/>
      <c r="F284" s="145"/>
      <c r="G284" s="145"/>
      <c r="H284" s="145"/>
      <c r="I284" s="145"/>
      <c r="J284" s="127"/>
    </row>
    <row r="285" spans="1:10" ht="14.1" customHeight="1" x14ac:dyDescent="0.25">
      <c r="A285" s="223"/>
      <c r="B285" s="69"/>
      <c r="C285" s="271" t="s">
        <v>90</v>
      </c>
      <c r="D285" s="46">
        <v>1753</v>
      </c>
      <c r="E285" s="145"/>
      <c r="G285" s="145"/>
      <c r="H285" s="145"/>
      <c r="I285" s="145"/>
      <c r="J285" s="127"/>
    </row>
    <row r="286" spans="1:10" ht="14.1" customHeight="1" x14ac:dyDescent="0.25">
      <c r="A286" s="223"/>
      <c r="B286" s="69"/>
      <c r="C286" s="271" t="s">
        <v>73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" customHeight="1" x14ac:dyDescent="0.25">
      <c r="A287" s="223"/>
      <c r="B287" s="69"/>
      <c r="C287" s="57" t="s">
        <v>49</v>
      </c>
      <c r="D287" s="35">
        <v>4557</v>
      </c>
      <c r="E287" s="145"/>
      <c r="F287" s="145"/>
      <c r="G287" s="145"/>
      <c r="H287" s="145"/>
      <c r="I287" s="145"/>
      <c r="J287" s="127"/>
    </row>
    <row r="288" spans="1:10" ht="14.1" customHeight="1" x14ac:dyDescent="0.25">
      <c r="A288" s="223"/>
      <c r="B288" s="69"/>
      <c r="C288" s="316" t="s">
        <v>120</v>
      </c>
      <c r="D288" s="316"/>
      <c r="E288" s="316"/>
      <c r="F288" s="316"/>
      <c r="G288" s="208"/>
      <c r="H288" s="208"/>
      <c r="I288" s="145"/>
      <c r="J288" s="127"/>
    </row>
    <row r="289" spans="1:10" ht="14.1" customHeight="1" x14ac:dyDescent="0.2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" customHeight="1" x14ac:dyDescent="0.2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" customHeight="1" x14ac:dyDescent="0.25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25">
      <c r="A292" s="223"/>
      <c r="B292" s="254"/>
      <c r="C292" s="257" t="s">
        <v>15</v>
      </c>
      <c r="D292" s="257"/>
      <c r="E292" s="257"/>
      <c r="F292" s="257"/>
      <c r="G292" s="257"/>
      <c r="H292" s="257"/>
      <c r="I292" s="257"/>
      <c r="J292" s="261"/>
    </row>
    <row r="293" spans="1:10" ht="78" customHeight="1" x14ac:dyDescent="0.25">
      <c r="A293" s="223"/>
      <c r="B293" s="193"/>
      <c r="C293" s="19" t="s">
        <v>107</v>
      </c>
      <c r="D293" s="21" t="s">
        <v>108</v>
      </c>
      <c r="E293" s="19" t="s">
        <v>162</v>
      </c>
      <c r="F293" s="19" t="s">
        <v>163</v>
      </c>
      <c r="G293" s="23" t="s">
        <v>164</v>
      </c>
      <c r="H293" s="19" t="s">
        <v>165</v>
      </c>
      <c r="I293" s="247"/>
      <c r="J293" s="13"/>
    </row>
    <row r="294" spans="1:10" ht="14.1" customHeight="1" x14ac:dyDescent="0.25">
      <c r="A294" s="223"/>
      <c r="B294" s="69"/>
      <c r="C294" s="287" t="s">
        <v>109</v>
      </c>
      <c r="D294" s="197">
        <v>894</v>
      </c>
      <c r="E294" s="25">
        <f>SUM(E295:E296)</f>
        <v>0</v>
      </c>
      <c r="F294" s="25">
        <f>SUM(F295:F296)</f>
        <v>1023.20588</v>
      </c>
      <c r="G294" s="82">
        <f>D294-F294</f>
        <v>-129.20587999999998</v>
      </c>
      <c r="H294" s="25">
        <f>SUM(H295:H296)</f>
        <v>988.40122999999994</v>
      </c>
      <c r="I294" s="26"/>
      <c r="J294" s="127"/>
    </row>
    <row r="295" spans="1:10" ht="14.1" customHeight="1" x14ac:dyDescent="0.25">
      <c r="A295" s="223"/>
      <c r="B295" s="69"/>
      <c r="C295" s="28" t="s">
        <v>8</v>
      </c>
      <c r="E295" s="198">
        <f>0</f>
        <v>0</v>
      </c>
      <c r="F295" s="198">
        <f>778.94708</f>
        <v>778.94708000000003</v>
      </c>
      <c r="G295" s="199"/>
      <c r="H295" s="198">
        <f>753.71223</f>
        <v>753.71222999999998</v>
      </c>
      <c r="I295" s="145"/>
      <c r="J295" s="127"/>
    </row>
    <row r="296" spans="1:10" ht="14.1" customHeight="1" x14ac:dyDescent="0.25">
      <c r="A296" s="223"/>
      <c r="B296" s="69"/>
      <c r="C296" s="28" t="s">
        <v>11</v>
      </c>
      <c r="D296" s="200"/>
      <c r="E296" s="202">
        <f>0</f>
        <v>0</v>
      </c>
      <c r="F296" s="202">
        <f>244.2588</f>
        <v>244.25880000000001</v>
      </c>
      <c r="G296" s="203"/>
      <c r="H296" s="202">
        <f>234.689</f>
        <v>234.68899999999999</v>
      </c>
      <c r="I296" s="145"/>
      <c r="J296" s="127"/>
    </row>
    <row r="297" spans="1:10" ht="14.1" customHeight="1" x14ac:dyDescent="0.25">
      <c r="A297" s="223"/>
      <c r="B297" s="69"/>
      <c r="C297" s="287" t="s">
        <v>110</v>
      </c>
      <c r="D297" s="9">
        <v>894</v>
      </c>
      <c r="E297" s="25">
        <f>SUM(E298:E299)</f>
        <v>0</v>
      </c>
      <c r="F297" s="25">
        <f>SUM(F298:F299)</f>
        <v>986.36924999999997</v>
      </c>
      <c r="G297" s="82">
        <f>D297-F297</f>
        <v>-92.369249999999965</v>
      </c>
      <c r="H297" s="25">
        <f>SUM(H298:H299)</f>
        <v>1222.0429799999999</v>
      </c>
      <c r="I297" s="26"/>
      <c r="J297" s="127"/>
    </row>
    <row r="298" spans="1:10" ht="14.1" customHeight="1" x14ac:dyDescent="0.25">
      <c r="A298" s="223"/>
      <c r="B298" s="69"/>
      <c r="C298" s="28" t="s">
        <v>8</v>
      </c>
      <c r="D298" s="41"/>
      <c r="E298" s="29">
        <f>0</f>
        <v>0</v>
      </c>
      <c r="F298" s="29">
        <f>763.98023</f>
        <v>763.98023000000001</v>
      </c>
      <c r="G298" s="94"/>
      <c r="H298" s="29">
        <f>982.54229</f>
        <v>982.54228999999998</v>
      </c>
      <c r="I298" s="145"/>
      <c r="J298" s="127"/>
    </row>
    <row r="299" spans="1:10" ht="14.1" customHeight="1" x14ac:dyDescent="0.25">
      <c r="A299" s="223"/>
      <c r="B299" s="69"/>
      <c r="C299" s="28" t="s">
        <v>11</v>
      </c>
      <c r="D299" s="244"/>
      <c r="E299" s="29">
        <f>0</f>
        <v>0</v>
      </c>
      <c r="F299" s="29">
        <f>222.38902</f>
        <v>222.38901999999999</v>
      </c>
      <c r="G299" s="105"/>
      <c r="H299" s="29">
        <f>239.50069</f>
        <v>239.50068999999999</v>
      </c>
      <c r="I299" s="145"/>
      <c r="J299" s="127"/>
    </row>
    <row r="300" spans="1:10" ht="14.1" customHeight="1" x14ac:dyDescent="0.25">
      <c r="A300" s="223"/>
      <c r="B300" s="69"/>
      <c r="C300" s="287" t="s">
        <v>111</v>
      </c>
      <c r="D300" s="9">
        <v>893</v>
      </c>
      <c r="E300" s="34">
        <f>SUM(E301:E302)</f>
        <v>40.460450000000002</v>
      </c>
      <c r="F300" s="34">
        <f>SUM(F301:F302)</f>
        <v>741.81540999999993</v>
      </c>
      <c r="G300" s="82">
        <f>D300-F300</f>
        <v>151.18459000000007</v>
      </c>
      <c r="H300" s="34">
        <f>SUM(H301:H302)</f>
        <v>1169.7251099999999</v>
      </c>
      <c r="I300" s="145"/>
      <c r="J300" s="127"/>
    </row>
    <row r="301" spans="1:10" ht="14.1" customHeight="1" x14ac:dyDescent="0.25">
      <c r="A301" s="223"/>
      <c r="B301" s="69"/>
      <c r="C301" s="28" t="s">
        <v>8</v>
      </c>
      <c r="D301" s="41"/>
      <c r="E301" s="29">
        <f>33.2335</f>
        <v>33.233499999999999</v>
      </c>
      <c r="F301" s="29">
        <f>516.72404</f>
        <v>516.72403999999995</v>
      </c>
      <c r="G301" s="94"/>
      <c r="H301" s="29">
        <f>844.50064</f>
        <v>844.50063999999998</v>
      </c>
      <c r="I301" s="145"/>
      <c r="J301" s="127"/>
    </row>
    <row r="302" spans="1:10" ht="14.1" customHeight="1" x14ac:dyDescent="0.25">
      <c r="A302" s="223"/>
      <c r="B302" s="69"/>
      <c r="C302" s="28" t="s">
        <v>11</v>
      </c>
      <c r="D302" s="244"/>
      <c r="E302" s="29">
        <f>7.22695</f>
        <v>7.2269500000000004</v>
      </c>
      <c r="F302" s="29">
        <f>225.09137</f>
        <v>225.09137000000001</v>
      </c>
      <c r="G302" s="105"/>
      <c r="H302" s="29">
        <f>325.22447</f>
        <v>325.22447</v>
      </c>
      <c r="I302" s="145"/>
      <c r="J302" s="127"/>
    </row>
    <row r="303" spans="1:10" ht="14.1" customHeight="1" x14ac:dyDescent="0.25">
      <c r="A303" s="223"/>
      <c r="B303" s="69"/>
      <c r="C303" s="300" t="s">
        <v>94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" customHeight="1" x14ac:dyDescent="0.25">
      <c r="A304" s="223"/>
      <c r="B304" s="69"/>
      <c r="C304" s="306" t="s">
        <v>86</v>
      </c>
      <c r="D304" s="38">
        <f>D294+D297+D300</f>
        <v>2681</v>
      </c>
      <c r="E304" s="39">
        <f>E294+E297+E300+E303</f>
        <v>40.460450000000002</v>
      </c>
      <c r="F304" s="39">
        <f>F294+F297+F300+F303</f>
        <v>2751.3905399999999</v>
      </c>
      <c r="G304" s="40">
        <f>D304-F304</f>
        <v>-70.390539999999874</v>
      </c>
      <c r="H304" s="39">
        <f>H294+H297+H300+H303</f>
        <v>3380.1693199999995</v>
      </c>
      <c r="I304" s="26"/>
      <c r="J304" s="127"/>
    </row>
    <row r="305" spans="1:10" ht="42" customHeight="1" x14ac:dyDescent="0.25">
      <c r="A305" s="223"/>
      <c r="B305" s="230"/>
      <c r="C305" s="318" t="s">
        <v>115</v>
      </c>
      <c r="D305" s="318"/>
      <c r="E305" s="318"/>
      <c r="F305" s="318"/>
      <c r="G305" s="318"/>
      <c r="H305" s="318"/>
      <c r="I305" s="318"/>
      <c r="J305" s="319"/>
    </row>
    <row r="306" spans="1:10" ht="42" customHeight="1" x14ac:dyDescent="0.2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25">
      <c r="A307" s="223"/>
      <c r="C307" s="145" t="s">
        <v>112</v>
      </c>
      <c r="D307" s="152"/>
    </row>
    <row r="308" spans="1:10" ht="15.6" customHeight="1" x14ac:dyDescent="0.25">
      <c r="A308" s="223"/>
      <c r="B308" s="120"/>
      <c r="C308" s="262"/>
      <c r="D308" s="16"/>
      <c r="E308" s="262"/>
      <c r="F308" s="262"/>
      <c r="G308" s="262"/>
      <c r="H308" s="262"/>
      <c r="I308" s="262"/>
      <c r="J308" s="58"/>
    </row>
    <row r="309" spans="1:10" ht="18.95" customHeight="1" x14ac:dyDescent="0.25">
      <c r="A309" s="223"/>
      <c r="B309" s="69"/>
      <c r="C309" s="233" t="s">
        <v>145</v>
      </c>
      <c r="D309" s="152"/>
      <c r="E309" s="145"/>
      <c r="G309" s="145"/>
      <c r="H309" s="145"/>
      <c r="I309" s="145"/>
      <c r="J309" s="127"/>
    </row>
    <row r="310" spans="1:10" ht="20.100000000000001" customHeight="1" x14ac:dyDescent="0.2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25">
      <c r="A311" s="223"/>
      <c r="B311" s="69"/>
      <c r="C311" s="210" t="s">
        <v>1</v>
      </c>
      <c r="D311" s="210" t="s">
        <v>146</v>
      </c>
      <c r="E311" s="212" t="s">
        <v>147</v>
      </c>
      <c r="F311" s="145"/>
      <c r="G311" s="145"/>
      <c r="H311" s="145"/>
      <c r="I311" s="145"/>
      <c r="J311" s="127"/>
    </row>
    <row r="312" spans="1:10" ht="18.95" customHeight="1" x14ac:dyDescent="0.25">
      <c r="A312" s="223"/>
      <c r="B312" s="69"/>
      <c r="C312" s="110" t="s">
        <v>6</v>
      </c>
      <c r="D312" s="231">
        <v>248</v>
      </c>
      <c r="E312" s="234">
        <v>22048</v>
      </c>
      <c r="F312" s="145"/>
      <c r="G312" s="145"/>
      <c r="H312" s="145"/>
      <c r="I312" s="145"/>
      <c r="J312" s="127"/>
    </row>
    <row r="313" spans="1:10" ht="15.95" customHeight="1" x14ac:dyDescent="0.25">
      <c r="A313" s="223"/>
      <c r="B313" s="69"/>
      <c r="C313" s="110" t="s">
        <v>90</v>
      </c>
      <c r="D313" s="231">
        <v>5644</v>
      </c>
      <c r="E313" s="234">
        <v>11686</v>
      </c>
      <c r="F313" s="221"/>
      <c r="G313" s="145"/>
      <c r="H313" s="145"/>
      <c r="I313" s="145"/>
      <c r="J313" s="127"/>
    </row>
    <row r="314" spans="1:10" ht="17.45" customHeight="1" x14ac:dyDescent="0.25">
      <c r="A314" s="223"/>
      <c r="B314" s="69"/>
      <c r="C314" s="110" t="s">
        <v>148</v>
      </c>
      <c r="D314" s="231"/>
      <c r="E314" s="234">
        <v>62128</v>
      </c>
      <c r="F314" s="145"/>
      <c r="G314" s="145"/>
      <c r="H314" s="145"/>
      <c r="I314" s="145"/>
      <c r="J314" s="127"/>
    </row>
    <row r="315" spans="1:10" ht="19.5" customHeight="1" x14ac:dyDescent="0.25">
      <c r="A315" s="223"/>
      <c r="B315" s="69"/>
      <c r="C315" s="172" t="s">
        <v>49</v>
      </c>
      <c r="D315" s="232">
        <v>5892</v>
      </c>
      <c r="E315" s="235">
        <f>E312+E313+E314</f>
        <v>95862</v>
      </c>
      <c r="F315" s="145"/>
      <c r="G315" s="145"/>
      <c r="H315" s="145"/>
      <c r="I315" s="145"/>
      <c r="J315" s="127"/>
    </row>
    <row r="316" spans="1:10" ht="15.95" customHeight="1" x14ac:dyDescent="0.25">
      <c r="A316" s="223"/>
      <c r="B316" s="69"/>
      <c r="C316" s="316" t="s">
        <v>157</v>
      </c>
      <c r="D316" s="316"/>
      <c r="E316" s="316"/>
      <c r="F316" s="316"/>
      <c r="G316" s="208"/>
      <c r="H316" s="208"/>
      <c r="I316" s="145"/>
      <c r="J316" s="127"/>
    </row>
    <row r="317" spans="1:10" ht="14.1" customHeight="1" x14ac:dyDescent="0.2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2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" customHeight="1" x14ac:dyDescent="0.2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25">
      <c r="A320" s="223"/>
      <c r="B320" s="254"/>
      <c r="C320" s="257" t="s">
        <v>15</v>
      </c>
      <c r="D320" s="257"/>
      <c r="E320" s="257"/>
      <c r="F320" s="257"/>
      <c r="G320" s="257"/>
      <c r="H320" s="257"/>
      <c r="I320" s="257"/>
      <c r="J320" s="261"/>
    </row>
    <row r="321" spans="1:10" ht="42" customHeight="1" x14ac:dyDescent="0.25">
      <c r="A321" s="223"/>
      <c r="B321" s="193"/>
      <c r="C321" s="19" t="s">
        <v>107</v>
      </c>
      <c r="D321" s="19" t="s">
        <v>1</v>
      </c>
      <c r="E321" s="19" t="s">
        <v>162</v>
      </c>
      <c r="F321" s="19" t="s">
        <v>163</v>
      </c>
      <c r="G321" s="19" t="s">
        <v>164</v>
      </c>
      <c r="H321" s="19" t="s">
        <v>165</v>
      </c>
      <c r="I321" s="247"/>
      <c r="J321" s="13"/>
    </row>
    <row r="322" spans="1:10" ht="18.75" customHeight="1" x14ac:dyDescent="0.25">
      <c r="A322" s="223"/>
      <c r="B322" s="69"/>
      <c r="C322" s="236" t="s">
        <v>154</v>
      </c>
      <c r="D322" s="237">
        <v>248</v>
      </c>
      <c r="E322" s="29">
        <f>0.3547</f>
        <v>0.35470000000000002</v>
      </c>
      <c r="F322" s="29">
        <f>92.9715</f>
        <v>92.971500000000006</v>
      </c>
      <c r="G322" s="238">
        <f>D322-F322</f>
        <v>155.02850000000001</v>
      </c>
      <c r="H322" s="29">
        <f>8.96847</f>
        <v>8.9684699999999999</v>
      </c>
      <c r="I322" s="242"/>
      <c r="J322" s="127"/>
    </row>
    <row r="323" spans="1:10" ht="17.45" customHeight="1" x14ac:dyDescent="0.25">
      <c r="A323" s="223"/>
      <c r="B323" s="69"/>
      <c r="C323" s="239" t="s">
        <v>155</v>
      </c>
      <c r="D323" s="240">
        <v>22048</v>
      </c>
      <c r="E323" s="29">
        <f>51.9157</f>
        <v>51.915700000000001</v>
      </c>
      <c r="F323" s="29">
        <f>542.09983</f>
        <v>542.09983</v>
      </c>
      <c r="G323" s="241">
        <f>D323-F323</f>
        <v>21505.900170000001</v>
      </c>
      <c r="H323" s="29">
        <f>656.12913</f>
        <v>656.12913000000003</v>
      </c>
      <c r="I323" s="26"/>
      <c r="J323" s="127"/>
    </row>
    <row r="324" spans="1:10" ht="17.100000000000001" customHeight="1" x14ac:dyDescent="0.25">
      <c r="A324" s="223"/>
      <c r="B324" s="69"/>
      <c r="C324" s="306" t="s">
        <v>86</v>
      </c>
      <c r="D324" s="229">
        <f>D322+D323</f>
        <v>22296</v>
      </c>
      <c r="E324" s="39">
        <f>E323+E322</f>
        <v>52.270400000000002</v>
      </c>
      <c r="F324" s="39">
        <f>F323+F322</f>
        <v>635.07132999999999</v>
      </c>
      <c r="G324" s="39">
        <f>G323+G322</f>
        <v>21660.928670000001</v>
      </c>
      <c r="H324" s="39">
        <f>H323+H322</f>
        <v>665.09760000000006</v>
      </c>
      <c r="I324" s="26"/>
      <c r="J324" s="127"/>
    </row>
    <row r="325" spans="1:10" ht="22.5" customHeight="1" x14ac:dyDescent="0.25">
      <c r="A325" s="223"/>
      <c r="B325" s="69"/>
      <c r="C325" s="314" t="s">
        <v>156</v>
      </c>
      <c r="D325" s="314"/>
      <c r="E325" s="314"/>
      <c r="F325" s="314"/>
      <c r="G325" s="314"/>
      <c r="H325" s="314"/>
      <c r="I325" s="314"/>
      <c r="J325" s="315"/>
    </row>
    <row r="326" spans="1:10" ht="42" customHeight="1" x14ac:dyDescent="0.2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25"/>
    <row r="328" spans="1:10" ht="14.1" customHeight="1" x14ac:dyDescent="0.25">
      <c r="A328" s="223"/>
      <c r="C328" s="145" t="s">
        <v>112</v>
      </c>
      <c r="D328" s="152"/>
    </row>
    <row r="329" spans="1:10" ht="0" hidden="1" customHeight="1" x14ac:dyDescent="0.25">
      <c r="A329" s="223"/>
      <c r="B329" s="120"/>
      <c r="C329" s="262"/>
      <c r="D329" s="16"/>
      <c r="E329" s="262"/>
      <c r="F329" s="262"/>
      <c r="G329" s="262"/>
      <c r="H329" s="262"/>
      <c r="I329" s="262"/>
      <c r="J329" s="58"/>
    </row>
    <row r="330" spans="1:10" ht="0" hidden="1" customHeight="1" x14ac:dyDescent="0.25">
      <c r="A330" s="223"/>
      <c r="B330" s="69"/>
      <c r="C330" s="233" t="s">
        <v>145</v>
      </c>
      <c r="D330" s="152"/>
      <c r="E330" s="145"/>
      <c r="G330" s="145"/>
      <c r="H330" s="145"/>
      <c r="I330" s="145"/>
      <c r="J330" s="127"/>
    </row>
    <row r="331" spans="1:10" ht="0" hidden="1" customHeight="1" x14ac:dyDescent="0.2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25">
      <c r="A332" s="223"/>
      <c r="B332" s="69"/>
      <c r="C332" s="210" t="s">
        <v>1</v>
      </c>
      <c r="D332" s="210" t="s">
        <v>146</v>
      </c>
      <c r="E332" s="212" t="s">
        <v>147</v>
      </c>
      <c r="F332" s="145"/>
      <c r="G332" s="145"/>
      <c r="H332" s="145"/>
      <c r="I332" s="145"/>
      <c r="J332" s="127"/>
    </row>
    <row r="333" spans="1:10" ht="0" hidden="1" customHeight="1" x14ac:dyDescent="0.2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25">
      <c r="A334" s="223"/>
      <c r="B334" s="69"/>
      <c r="C334" s="110" t="s">
        <v>90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25">
      <c r="A335" s="223"/>
      <c r="B335" s="69"/>
      <c r="C335" s="110" t="s">
        <v>148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25">
      <c r="A336" s="223"/>
      <c r="B336" s="69"/>
      <c r="C336" s="172" t="s">
        <v>49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25">
      <c r="A337" s="223"/>
      <c r="B337" s="69"/>
      <c r="C337" s="313" t="s">
        <v>149</v>
      </c>
      <c r="D337" s="313"/>
      <c r="E337" s="313"/>
      <c r="F337" s="313"/>
      <c r="G337" s="208"/>
      <c r="H337" s="208"/>
      <c r="I337" s="145"/>
      <c r="J337" s="127"/>
    </row>
    <row r="338" spans="1:10" ht="0" hidden="1" customHeight="1" x14ac:dyDescent="0.2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2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2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25">
      <c r="A341" s="223"/>
      <c r="B341" s="254"/>
      <c r="C341" s="257" t="s">
        <v>15</v>
      </c>
      <c r="D341" s="257"/>
      <c r="E341" s="257"/>
      <c r="F341" s="257"/>
      <c r="G341" s="257"/>
      <c r="H341" s="257"/>
      <c r="I341" s="257"/>
      <c r="J341" s="261"/>
    </row>
    <row r="342" spans="1:10" ht="0" hidden="1" customHeight="1" x14ac:dyDescent="0.25">
      <c r="A342" s="223"/>
      <c r="B342" s="193"/>
      <c r="C342" s="19" t="s">
        <v>107</v>
      </c>
      <c r="D342" s="19" t="s">
        <v>1</v>
      </c>
      <c r="E342" s="246" t="s">
        <v>150</v>
      </c>
      <c r="F342" s="246" t="s">
        <v>151</v>
      </c>
      <c r="G342" s="246" t="s">
        <v>152</v>
      </c>
      <c r="H342" s="224" t="s">
        <v>153</v>
      </c>
      <c r="I342" s="247"/>
      <c r="J342" s="13"/>
    </row>
    <row r="343" spans="1:10" ht="0" hidden="1" customHeight="1" x14ac:dyDescent="0.25">
      <c r="A343" s="223"/>
      <c r="B343" s="69"/>
      <c r="C343" s="225" t="s">
        <v>154</v>
      </c>
      <c r="D343" s="226">
        <v>248</v>
      </c>
      <c r="E343" s="227"/>
      <c r="F343" s="227"/>
      <c r="G343" s="290">
        <f>D343-F343</f>
        <v>248</v>
      </c>
      <c r="H343" s="227"/>
      <c r="I343" s="26"/>
      <c r="J343" s="127"/>
    </row>
    <row r="344" spans="1:10" ht="0" hidden="1" customHeight="1" x14ac:dyDescent="0.25">
      <c r="A344" s="223"/>
      <c r="B344" s="69"/>
      <c r="C344" s="287" t="s">
        <v>155</v>
      </c>
      <c r="D344" s="228">
        <v>22048</v>
      </c>
      <c r="E344" s="227"/>
      <c r="F344" s="227"/>
      <c r="G344" s="290">
        <f>D344-F344</f>
        <v>22048</v>
      </c>
      <c r="H344" s="227"/>
      <c r="I344" s="26"/>
      <c r="J344" s="127"/>
    </row>
    <row r="345" spans="1:10" ht="0" hidden="1" customHeight="1" x14ac:dyDescent="0.25">
      <c r="A345" s="223"/>
      <c r="B345" s="69"/>
      <c r="C345" s="306" t="s">
        <v>86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25">
      <c r="A346" s="223"/>
      <c r="B346" s="69"/>
      <c r="C346" s="314" t="s">
        <v>156</v>
      </c>
      <c r="D346" s="314"/>
      <c r="E346" s="314"/>
      <c r="F346" s="314"/>
      <c r="G346" s="314"/>
      <c r="H346" s="314"/>
      <c r="I346" s="314"/>
      <c r="J346" s="315"/>
    </row>
    <row r="347" spans="1:10" ht="0" hidden="1" customHeight="1" x14ac:dyDescent="0.2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25"/>
    <row r="349" spans="1:10" ht="0" hidden="1" customHeight="1" x14ac:dyDescent="0.25"/>
    <row r="350" spans="1:10" ht="0" hidden="1" customHeight="1" x14ac:dyDescent="0.2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25"/>
    <row r="352" spans="1:10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13" ht="16.5" customHeight="1" x14ac:dyDescent="0.25"/>
  </sheetData>
  <mergeCells count="19">
    <mergeCell ref="B2:J2"/>
    <mergeCell ref="B9:J9"/>
    <mergeCell ref="C11:D11"/>
    <mergeCell ref="E11:F11"/>
    <mergeCell ref="G11:H11"/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24&amp;R16.06.2025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2025-06-16T07:06:36Z</dcterms:modified>
</cp:coreProperties>
</file>