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91677762-BC44-4AD4-B72A-99289D5DF7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423" i="1"/>
  <c r="H422" i="1"/>
  <c r="F422" i="1"/>
  <c r="G422" i="1" s="1"/>
  <c r="E422" i="1"/>
  <c r="H421" i="1"/>
  <c r="F421" i="1"/>
  <c r="E421" i="1"/>
  <c r="H420" i="1"/>
  <c r="H419" i="1" s="1"/>
  <c r="F420" i="1"/>
  <c r="E420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G391" i="1"/>
  <c r="D391" i="1"/>
  <c r="I390" i="1"/>
  <c r="H390" i="1"/>
  <c r="G390" i="1"/>
  <c r="F390" i="1"/>
  <c r="I389" i="1"/>
  <c r="H389" i="1"/>
  <c r="G389" i="1"/>
  <c r="F389" i="1"/>
  <c r="I388" i="1"/>
  <c r="I386" i="1" s="1"/>
  <c r="G388" i="1"/>
  <c r="F388" i="1"/>
  <c r="I387" i="1"/>
  <c r="G387" i="1"/>
  <c r="F387" i="1"/>
  <c r="F386" i="1" s="1"/>
  <c r="H386" i="1"/>
  <c r="G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F380" i="1" s="1"/>
  <c r="F391" i="1" s="1"/>
  <c r="I382" i="1"/>
  <c r="H382" i="1"/>
  <c r="G382" i="1"/>
  <c r="F382" i="1"/>
  <c r="I381" i="1"/>
  <c r="H381" i="1"/>
  <c r="G381" i="1"/>
  <c r="F381" i="1"/>
  <c r="I380" i="1"/>
  <c r="H380" i="1"/>
  <c r="H391" i="1" s="1"/>
  <c r="G380" i="1"/>
  <c r="D380" i="1"/>
  <c r="H372" i="1"/>
  <c r="F372" i="1"/>
  <c r="H354" i="1"/>
  <c r="D354" i="1"/>
  <c r="G354" i="1" s="1"/>
  <c r="H353" i="1"/>
  <c r="F353" i="1"/>
  <c r="G353" i="1" s="1"/>
  <c r="E353" i="1"/>
  <c r="H352" i="1"/>
  <c r="G352" i="1"/>
  <c r="F352" i="1"/>
  <c r="E352" i="1"/>
  <c r="H351" i="1"/>
  <c r="F351" i="1"/>
  <c r="F354" i="1" s="1"/>
  <c r="E351" i="1"/>
  <c r="H350" i="1"/>
  <c r="G350" i="1"/>
  <c r="F350" i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E296" i="1"/>
  <c r="F295" i="1"/>
  <c r="F299" i="1" s="1"/>
  <c r="G299" i="1" s="1"/>
  <c r="E295" i="1"/>
  <c r="E299" i="1" s="1"/>
  <c r="D253" i="1"/>
  <c r="H252" i="1"/>
  <c r="G252" i="1"/>
  <c r="F252" i="1"/>
  <c r="E252" i="1"/>
  <c r="H251" i="1"/>
  <c r="F251" i="1"/>
  <c r="E251" i="1"/>
  <c r="H250" i="1"/>
  <c r="F250" i="1"/>
  <c r="E250" i="1"/>
  <c r="E249" i="1" s="1"/>
  <c r="E253" i="1" s="1"/>
  <c r="H249" i="1"/>
  <c r="H253" i="1" s="1"/>
  <c r="F249" i="1"/>
  <c r="G249" i="1" s="1"/>
  <c r="E207" i="1"/>
  <c r="D207" i="1"/>
  <c r="H206" i="1"/>
  <c r="G206" i="1"/>
  <c r="F206" i="1"/>
  <c r="E206" i="1"/>
  <c r="H205" i="1"/>
  <c r="F205" i="1"/>
  <c r="F207" i="1" s="1"/>
  <c r="E205" i="1"/>
  <c r="H204" i="1"/>
  <c r="H207" i="1" s="1"/>
  <c r="G204" i="1"/>
  <c r="F204" i="1"/>
  <c r="E204" i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E180" i="1"/>
  <c r="H179" i="1"/>
  <c r="H178" i="1" s="1"/>
  <c r="F179" i="1"/>
  <c r="F178" i="1" s="1"/>
  <c r="E179" i="1"/>
  <c r="E178" i="1" s="1"/>
  <c r="H177" i="1"/>
  <c r="G177" i="1"/>
  <c r="F177" i="1"/>
  <c r="E177" i="1"/>
  <c r="H176" i="1"/>
  <c r="F176" i="1"/>
  <c r="E176" i="1"/>
  <c r="H175" i="1"/>
  <c r="G175" i="1"/>
  <c r="F175" i="1"/>
  <c r="E175" i="1"/>
  <c r="E184" i="1" s="1"/>
  <c r="D169" i="1"/>
  <c r="D167" i="1"/>
  <c r="I148" i="1"/>
  <c r="G148" i="1"/>
  <c r="H148" i="1" s="1"/>
  <c r="F148" i="1"/>
  <c r="I147" i="1"/>
  <c r="H147" i="1"/>
  <c r="G147" i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I139" i="1" s="1"/>
  <c r="I133" i="1" s="1"/>
  <c r="H140" i="1"/>
  <c r="H139" i="1" s="1"/>
  <c r="G140" i="1"/>
  <c r="G139" i="1" s="1"/>
  <c r="F140" i="1"/>
  <c r="F139" i="1" s="1"/>
  <c r="E139" i="1"/>
  <c r="E133" i="1" s="1"/>
  <c r="D139" i="1"/>
  <c r="D133" i="1" s="1"/>
  <c r="I138" i="1"/>
  <c r="H138" i="1"/>
  <c r="F138" i="1"/>
  <c r="I137" i="1"/>
  <c r="H137" i="1"/>
  <c r="F137" i="1"/>
  <c r="I136" i="1"/>
  <c r="H136" i="1"/>
  <c r="F136" i="1"/>
  <c r="I135" i="1"/>
  <c r="G134" i="1"/>
  <c r="G133" i="1" s="1"/>
  <c r="F135" i="1"/>
  <c r="F134" i="1" s="1"/>
  <c r="F133" i="1" s="1"/>
  <c r="F150" i="1" s="1"/>
  <c r="I134" i="1"/>
  <c r="E134" i="1"/>
  <c r="D134" i="1"/>
  <c r="I132" i="1"/>
  <c r="F132" i="1"/>
  <c r="I131" i="1"/>
  <c r="H131" i="1"/>
  <c r="G131" i="1"/>
  <c r="F131" i="1"/>
  <c r="I130" i="1"/>
  <c r="G130" i="1"/>
  <c r="H130" i="1" s="1"/>
  <c r="F130" i="1"/>
  <c r="I129" i="1"/>
  <c r="I128" i="1" s="1"/>
  <c r="H129" i="1"/>
  <c r="G129" i="1"/>
  <c r="F129" i="1"/>
  <c r="G128" i="1"/>
  <c r="F128" i="1"/>
  <c r="E128" i="1"/>
  <c r="D128" i="1"/>
  <c r="D150" i="1" s="1"/>
  <c r="C126" i="1"/>
  <c r="I106" i="1"/>
  <c r="G106" i="1"/>
  <c r="H106" i="1" s="1"/>
  <c r="F106" i="1"/>
  <c r="I105" i="1"/>
  <c r="H105" i="1"/>
  <c r="G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H97" i="1"/>
  <c r="G97" i="1"/>
  <c r="G96" i="1" s="1"/>
  <c r="G95" i="1" s="1"/>
  <c r="F97" i="1"/>
  <c r="F96" i="1" s="1"/>
  <c r="F95" i="1" s="1"/>
  <c r="F107" i="1" s="1"/>
  <c r="I96" i="1"/>
  <c r="E96" i="1"/>
  <c r="D96" i="1"/>
  <c r="D95" i="1" s="1"/>
  <c r="D107" i="1" s="1"/>
  <c r="I95" i="1"/>
  <c r="E95" i="1"/>
  <c r="I94" i="1"/>
  <c r="H94" i="1"/>
  <c r="G94" i="1"/>
  <c r="F94" i="1"/>
  <c r="I93" i="1"/>
  <c r="I92" i="1" s="1"/>
  <c r="I107" i="1" s="1"/>
  <c r="G93" i="1"/>
  <c r="H93" i="1" s="1"/>
  <c r="F93" i="1"/>
  <c r="G92" i="1"/>
  <c r="F92" i="1"/>
  <c r="E92" i="1"/>
  <c r="E107" i="1" s="1"/>
  <c r="D92" i="1"/>
  <c r="C89" i="1"/>
  <c r="H85" i="1"/>
  <c r="F85" i="1"/>
  <c r="D85" i="1"/>
  <c r="H61" i="1"/>
  <c r="H60" i="1"/>
  <c r="I35" i="1" s="1"/>
  <c r="I55" i="1"/>
  <c r="I32" i="1" s="1"/>
  <c r="G55" i="1"/>
  <c r="H55" i="1" s="1"/>
  <c r="F55" i="1"/>
  <c r="I43" i="1"/>
  <c r="G43" i="1"/>
  <c r="H43" i="1" s="1"/>
  <c r="F43" i="1"/>
  <c r="H42" i="1"/>
  <c r="I41" i="1"/>
  <c r="H41" i="1"/>
  <c r="G41" i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G34" i="1" s="1"/>
  <c r="F36" i="1"/>
  <c r="G35" i="1"/>
  <c r="H35" i="1" s="1"/>
  <c r="F35" i="1"/>
  <c r="E35" i="1"/>
  <c r="F34" i="1"/>
  <c r="D34" i="1"/>
  <c r="I33" i="1"/>
  <c r="H33" i="1"/>
  <c r="G33" i="1"/>
  <c r="F33" i="1"/>
  <c r="G32" i="1"/>
  <c r="H32" i="1" s="1"/>
  <c r="F32" i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E27" i="1"/>
  <c r="E26" i="1" s="1"/>
  <c r="E44" i="1" s="1"/>
  <c r="D27" i="1"/>
  <c r="D26" i="1" s="1"/>
  <c r="I25" i="1"/>
  <c r="I23" i="1" s="1"/>
  <c r="G25" i="1"/>
  <c r="H25" i="1" s="1"/>
  <c r="H23" i="1" s="1"/>
  <c r="F25" i="1"/>
  <c r="I24" i="1"/>
  <c r="H24" i="1"/>
  <c r="G24" i="1"/>
  <c r="F24" i="1"/>
  <c r="F23" i="1"/>
  <c r="E23" i="1"/>
  <c r="D23" i="1"/>
  <c r="H16" i="1"/>
  <c r="F16" i="1"/>
  <c r="D16" i="1"/>
  <c r="I34" i="1" l="1"/>
  <c r="I27" i="1"/>
  <c r="F27" i="1"/>
  <c r="F26" i="1" s="1"/>
  <c r="F44" i="1" s="1"/>
  <c r="I26" i="1"/>
  <c r="I44" i="1" s="1"/>
  <c r="E150" i="1"/>
  <c r="D44" i="1"/>
  <c r="H184" i="1"/>
  <c r="G184" i="1"/>
  <c r="H34" i="1"/>
  <c r="G26" i="1"/>
  <c r="G150" i="1"/>
  <c r="G178" i="1"/>
  <c r="F184" i="1"/>
  <c r="H92" i="1"/>
  <c r="H96" i="1"/>
  <c r="H95" i="1" s="1"/>
  <c r="H128" i="1"/>
  <c r="G207" i="1"/>
  <c r="H27" i="1"/>
  <c r="G107" i="1"/>
  <c r="I150" i="1"/>
  <c r="H423" i="1"/>
  <c r="I391" i="1"/>
  <c r="F423" i="1"/>
  <c r="G413" i="1"/>
  <c r="G423" i="1"/>
  <c r="H36" i="1"/>
  <c r="H135" i="1"/>
  <c r="H134" i="1" s="1"/>
  <c r="H133" i="1" s="1"/>
  <c r="G205" i="1"/>
  <c r="G295" i="1"/>
  <c r="G351" i="1"/>
  <c r="G27" i="1"/>
  <c r="F253" i="1"/>
  <c r="G253" i="1" s="1"/>
  <c r="G23" i="1"/>
  <c r="H26" i="1" l="1"/>
  <c r="H44" i="1" s="1"/>
  <c r="H150" i="1"/>
  <c r="H107" i="1"/>
  <c r="G44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<sst xmlns="http://schemas.openxmlformats.org/spreadsheetml/2006/main" count="359" uniqueCount="151">
  <si>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</si>
  <si>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</si>
  <si>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</si>
  <si>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</si>
  <si>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</si>
  <si>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</si>
  <si>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</si>
  <si>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</si>
  <si>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</si>
  <si>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</si>
  <si>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</si>
  <si>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</si>
  <si>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</si>
  <si>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</si>
  <si>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</si>
  <si>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</si>
  <si>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</si>
  <si>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</si>
  <si>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</si>
  <si>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</si>
  <si>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</si>
  <si>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</si>
  <si>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</si>
  <si>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</si>
  <si>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</si>
  <si>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</si>
  <si>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</si>
  <si>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</si>
  <si>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</si>
  <si>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</si>
  <si>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</si>
  <si>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</si>
  <si>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</si>
  <si>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</si>
  <si>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</si>
  <si>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</si>
  <si>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</si>
  <si>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</si>
  <si>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</si>
  <si>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</si>
  <si>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</si>
  <si>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</si>
  <si>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</si>
  <si>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</si>
  <si>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</si>
  <si>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</si>
  <si>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</si>
  <si>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</si>
  <si>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</si>
  <si>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</si>
  <si>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</si>
  <si>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</si>
  <si>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</si>
  <si>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</si>
  <si>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</si>
  <si>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</si>
  <si>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</si>
  <si>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</si>
  <si>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</si>
  <si>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</si>
  <si>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</si>
  <si>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</si>
  <si>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</si>
  <si>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</si>
  <si>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</si>
  <si>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</si>
  <si>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</si>
  <si>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</si>
  <si>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</si>
  <si>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</si>
  <si>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</si>
  <si>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</si>
  <si>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</si>
  <si>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</si>
  <si>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</si>
  <si>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</si>
  <si>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</si>
  <si>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</si>
  <si>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</si>
  <si>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</si>
  <si>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</si>
  <si>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</si>
  <si>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</si>
  <si>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</si>
  <si>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</si>
  <si>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</si>
  <si>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</si>
  <si>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</si>
  <si>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</si>
  <si>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</si>
  <si>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</si>
  <si>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</si>
  <si>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</si>
  <si>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</si>
  <si>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</si>
  <si>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</si>
  <si>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</si>
  <si>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</si>
  <si>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</si>
  <si>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</si>
  <si>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</si>
  <si>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</si>
  <si>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</si>
  <si>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</si>
  <si>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</si>
  <si>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</si>
  <si>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</si>
  <si>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</si>
  <si>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</si>
  <si>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</si>
  <si>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</si>
  <si>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</si>
  <si>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</si>
  <si>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</si>
  <si>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</si>
  <si>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</si>
  <si>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</si>
  <si>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</si>
  <si>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</si>
  <si>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</si>
  <si>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</si>
  <si>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</si>
  <si>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</si>
  <si>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</si>
  <si>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</si>
  <si>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</si>
  <si>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</si>
  <si>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</si>
  <si>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</si>
  <si>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</si>
  <si>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</si>
  <si>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</si>
  <si>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</si>
  <si>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</si>
  <si>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</si>
  <si>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</si>
  <si>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</si>
  <si>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</si>
  <si>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</si>
  <si>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</si>
  <si>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</si>
  <si>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</si>
  <si>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</si>
  <si>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61 tonn, men det legges til grunn at hele avsetningen tas</t>
  </si>
  <si>
    <t>4 Registrert rekreasjonsfiske utgjør 507 tonn, men det legges til grunn at hele avsetningen tas</t>
  </si>
  <si>
    <t>3 Registrert rekreasjonsfiske utgjør 882 tonn, men det legges til grunn at hele avsetningen tas</t>
  </si>
  <si>
    <t>FANGST UKE 45</t>
  </si>
  <si>
    <t>FANGST T.O.M UKE 45</t>
  </si>
  <si>
    <t>RESTKVOTER UKE 45</t>
  </si>
  <si>
    <t>FANGST T.O.M UKE 45 2023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</si>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</sst>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369" zoomScale="85" zoomScaleNormal="85" zoomScaleSheetLayoutView="100" zoomScalePageLayoutView="85" workbookViewId="0">
      <selection activeCell="G382" sqref="G382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3" t="s">
        <v>118</v>
      </c>
      <c r="C2" s="294"/>
      <c r="D2" s="294"/>
      <c r="E2" s="294"/>
      <c r="F2" s="294"/>
      <c r="G2" s="294"/>
      <c r="H2" s="294"/>
      <c r="I2" s="294"/>
      <c r="J2" s="29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292" t="s">
        <v>135</v>
      </c>
      <c r="D17" s="292"/>
      <c r="E17" s="292"/>
      <c r="F17" s="292"/>
      <c r="G17" s="292"/>
      <c r="H17" s="29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756.69899999999996</v>
      </c>
      <c r="G23" s="28">
        <f t="shared" si="0"/>
        <v>46946.2405</v>
      </c>
      <c r="H23" s="11">
        <f t="shared" si="0"/>
        <v>13865.759499999998</v>
      </c>
      <c r="I23" s="11">
        <f t="shared" si="0"/>
        <v>70025.041519999999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756.699</f>
        <v>756.69899999999996</v>
      </c>
      <c r="G24" s="23">
        <f>46398.96871</f>
        <v>46398.968710000001</v>
      </c>
      <c r="H24" s="23">
        <f>E24-G24</f>
        <v>13643.031289999999</v>
      </c>
      <c r="I24" s="23">
        <f>69460.78867</f>
        <v>69460.788669999994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547.27179</f>
        <v>547.27179000000001</v>
      </c>
      <c r="H25" s="23">
        <f>E25-G25</f>
        <v>222.72820999999999</v>
      </c>
      <c r="I25" s="23">
        <f>564.25285</f>
        <v>564.25284999999997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801.57240000000002</v>
      </c>
      <c r="G26" s="11">
        <f t="shared" si="1"/>
        <v>128595.94229000001</v>
      </c>
      <c r="H26" s="11">
        <f t="shared" si="1"/>
        <v>16278.057709999999</v>
      </c>
      <c r="I26" s="11">
        <f t="shared" si="1"/>
        <v>193063.67240000001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688.26514999999995</v>
      </c>
      <c r="G27" s="132">
        <f t="shared" ref="G27:I27" si="2">G28+G29+G30+G31+G32</f>
        <v>104162.86839</v>
      </c>
      <c r="H27" s="132">
        <f t="shared" si="2"/>
        <v>8815.1316100000004</v>
      </c>
      <c r="I27" s="132">
        <f t="shared" si="2"/>
        <v>149706.55684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91.25209</f>
        <v>91.252089999999995</v>
      </c>
      <c r="G28" s="127">
        <f>27048.251 - G56</f>
        <v>25934.251</v>
      </c>
      <c r="H28" s="127">
        <f t="shared" ref="H28:H40" si="3">E28-G28</f>
        <v>2695.7489999999998</v>
      </c>
      <c r="I28" s="127">
        <f>38062.71324 - H56</f>
        <v>38062.713239999997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186.68309</f>
        <v>186.68308999999999</v>
      </c>
      <c r="G29" s="127">
        <f>29792.57158 - G57</f>
        <v>28246.57158</v>
      </c>
      <c r="H29" s="127">
        <f t="shared" si="3"/>
        <v>1418.4284200000002</v>
      </c>
      <c r="I29" s="127">
        <f>41137.02482 - H57</f>
        <v>41137.024819999999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204.70595</f>
        <v>204.70595</v>
      </c>
      <c r="G30" s="127">
        <f>27203.97829 - G58</f>
        <v>25883.978289999999</v>
      </c>
      <c r="H30" s="127">
        <f t="shared" si="3"/>
        <v>1360.0217100000009</v>
      </c>
      <c r="I30" s="127">
        <f>37704.87998 - H58</f>
        <v>37704.879979999998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0.62402</f>
        <v>0.62402000000000002</v>
      </c>
      <c r="G31" s="127">
        <f>20118.06752 - G59</f>
        <v>19010.067520000001</v>
      </c>
      <c r="H31" s="127">
        <f t="shared" si="3"/>
        <v>328.93247999999949</v>
      </c>
      <c r="I31" s="127">
        <f>25308.9388 - H59</f>
        <v>25308.9388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205</v>
      </c>
      <c r="G32" s="127">
        <f>G55</f>
        <v>5088</v>
      </c>
      <c r="H32" s="127">
        <f t="shared" si="3"/>
        <v>3012</v>
      </c>
      <c r="I32" s="127">
        <f>I55</f>
        <v>7493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0.9676</f>
        <v>0.96760000000000002</v>
      </c>
      <c r="G33" s="132">
        <f>12070.28475</f>
        <v>12070.284750000001</v>
      </c>
      <c r="H33" s="132">
        <f t="shared" si="3"/>
        <v>4788.7152499999993</v>
      </c>
      <c r="I33" s="132">
        <f>17796.61117</f>
        <v>17796.61117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112.33965000000001</v>
      </c>
      <c r="G34" s="132">
        <f>G35+G36</f>
        <v>12362.789150000001</v>
      </c>
      <c r="H34" s="132">
        <f t="shared" si="3"/>
        <v>2674.2108499999995</v>
      </c>
      <c r="I34" s="132">
        <f>I35+I36</f>
        <v>25560.504389999998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65.33965</f>
        <v>65.339650000000006</v>
      </c>
      <c r="G35" s="132">
        <f>15240.78915 - G60 - G61</f>
        <v>11670.789150000001</v>
      </c>
      <c r="H35" s="127">
        <f t="shared" si="3"/>
        <v>2406.2108499999995</v>
      </c>
      <c r="I35" s="127">
        <f>25141.50439 - H60 - H61</f>
        <v>24751.504389999998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47</v>
      </c>
      <c r="G36" s="71">
        <f>G60</f>
        <v>692</v>
      </c>
      <c r="H36" s="71">
        <f t="shared" si="3"/>
        <v>268</v>
      </c>
      <c r="I36" s="71">
        <f>I60</f>
        <v>809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2.3229</f>
        <v>2.3229000000000002</v>
      </c>
      <c r="G38" s="98">
        <f>499.06476</f>
        <v>499.06475999999998</v>
      </c>
      <c r="H38" s="98">
        <f t="shared" si="3"/>
        <v>355.93524000000002</v>
      </c>
      <c r="I38" s="98">
        <f>532.41662</f>
        <v>532.41661999999997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9</v>
      </c>
      <c r="G39" s="98">
        <f>G61</f>
        <v>2878</v>
      </c>
      <c r="H39" s="98">
        <f t="shared" si="3"/>
        <v>122</v>
      </c>
      <c r="I39" s="98">
        <f>I61</f>
        <v>4449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1.87345</f>
        <v>1.8734500000000001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1.0349</f>
        <v>1.0348999999999999</v>
      </c>
      <c r="G41" s="98">
        <f>348.38</f>
        <v>348.38</v>
      </c>
      <c r="H41" s="98">
        <f>E41-G41</f>
        <v>51.620000000000005</v>
      </c>
      <c r="I41" s="98">
        <f>357.8696</f>
        <v>357.86959999999999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1.249</f>
        <v>1.2490000000000001</v>
      </c>
      <c r="G43" s="139">
        <f>167.49989</f>
        <v>167.49988999999999</v>
      </c>
      <c r="H43" s="139">
        <f t="shared" ref="H43" si="4">E43-G43</f>
        <v>-167.49988999999999</v>
      </c>
      <c r="I43" s="139">
        <f>156.58077</f>
        <v>156.58077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1573.7516500000002</v>
      </c>
      <c r="G44" s="76">
        <f t="shared" si="5"/>
        <v>186783.49264000001</v>
      </c>
      <c r="H44" s="76">
        <f t="shared" si="5"/>
        <v>32257.507359999996</v>
      </c>
      <c r="I44" s="76">
        <f t="shared" si="5"/>
        <v>276331.37250999996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304">
        <v>7872</v>
      </c>
      <c r="E55" s="304">
        <v>8100</v>
      </c>
      <c r="F55" s="11">
        <f>F59+F58+F57+F56</f>
        <v>205</v>
      </c>
      <c r="G55" s="11">
        <f>G59+G58+G57+G56</f>
        <v>5088</v>
      </c>
      <c r="H55" s="304">
        <f>E55-G55</f>
        <v>3012</v>
      </c>
      <c r="I55" s="11">
        <f>I59+I58+I57+I56</f>
        <v>7493</v>
      </c>
      <c r="J55" s="120"/>
    </row>
    <row r="56" spans="1:10" ht="14.15" customHeight="1" x14ac:dyDescent="0.35">
      <c r="A56" s="101"/>
      <c r="B56" s="24"/>
      <c r="C56" s="62" t="s">
        <v>24</v>
      </c>
      <c r="D56" s="305"/>
      <c r="E56" s="305"/>
      <c r="F56" s="127">
        <v>71</v>
      </c>
      <c r="G56" s="127">
        <v>1114</v>
      </c>
      <c r="H56" s="305"/>
      <c r="I56" s="127">
        <v>1223</v>
      </c>
      <c r="J56" s="120"/>
    </row>
    <row r="57" spans="1:10" ht="14.15" customHeight="1" x14ac:dyDescent="0.35">
      <c r="A57" s="101"/>
      <c r="B57" s="24"/>
      <c r="C57" s="62" t="s">
        <v>25</v>
      </c>
      <c r="D57" s="305"/>
      <c r="E57" s="305"/>
      <c r="F57" s="127">
        <v>114</v>
      </c>
      <c r="G57" s="127">
        <v>1546</v>
      </c>
      <c r="H57" s="305"/>
      <c r="I57" s="127">
        <v>2461</v>
      </c>
      <c r="J57" s="244"/>
    </row>
    <row r="58" spans="1:10" ht="14.15" customHeight="1" x14ac:dyDescent="0.35">
      <c r="A58" s="101"/>
      <c r="B58" s="24"/>
      <c r="C58" s="62" t="s">
        <v>26</v>
      </c>
      <c r="D58" s="305"/>
      <c r="E58" s="305"/>
      <c r="F58" s="127">
        <v>19</v>
      </c>
      <c r="G58" s="127">
        <v>1320</v>
      </c>
      <c r="H58" s="305"/>
      <c r="I58" s="127">
        <v>2560</v>
      </c>
      <c r="J58" s="120"/>
    </row>
    <row r="59" spans="1:10" ht="14.15" customHeight="1" x14ac:dyDescent="0.35">
      <c r="A59" s="101"/>
      <c r="B59" s="24"/>
      <c r="C59" s="87" t="s">
        <v>27</v>
      </c>
      <c r="D59" s="306"/>
      <c r="E59" s="306"/>
      <c r="F59" s="192">
        <v>1</v>
      </c>
      <c r="G59" s="192">
        <v>1108</v>
      </c>
      <c r="H59" s="306"/>
      <c r="I59" s="192">
        <v>1249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47</v>
      </c>
      <c r="G60" s="95">
        <v>692</v>
      </c>
      <c r="H60" s="95">
        <f>E60-G60</f>
        <v>268</v>
      </c>
      <c r="I60" s="95">
        <v>809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9</v>
      </c>
      <c r="G61" s="139">
        <v>2878</v>
      </c>
      <c r="H61" s="139">
        <f>E61-G61</f>
        <v>122</v>
      </c>
      <c r="I61" s="139">
        <v>4449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9" t="s">
        <v>1</v>
      </c>
      <c r="D81" s="300"/>
      <c r="E81" s="299" t="s">
        <v>2</v>
      </c>
      <c r="F81" s="307"/>
      <c r="G81" s="299" t="s">
        <v>3</v>
      </c>
      <c r="H81" s="300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176.2159</v>
      </c>
      <c r="G92" s="11">
        <f t="shared" si="6"/>
        <v>24200.40969</v>
      </c>
      <c r="H92" s="11">
        <f t="shared" si="6"/>
        <v>1760.59031</v>
      </c>
      <c r="I92" s="11">
        <f t="shared" si="6"/>
        <v>42591.890079999997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176.2159</f>
        <v>176.2159</v>
      </c>
      <c r="G93" s="23">
        <f>23404.97134</f>
        <v>23404.97134</v>
      </c>
      <c r="H93" s="23">
        <f>E93-G93</f>
        <v>1731.0286599999999</v>
      </c>
      <c r="I93" s="23">
        <f>42030.90889</f>
        <v>42030.908889999999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795.43835</f>
        <v>795.43835000000001</v>
      </c>
      <c r="H94" s="50">
        <f>E94-G94</f>
        <v>29.561649999999986</v>
      </c>
      <c r="I94" s="50">
        <f>560.98119</f>
        <v>560.98118999999997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208.49252999999999</v>
      </c>
      <c r="G95" s="11">
        <f t="shared" si="7"/>
        <v>41769.634549999995</v>
      </c>
      <c r="H95" s="11">
        <f t="shared" si="7"/>
        <v>7224.3654499999993</v>
      </c>
      <c r="I95" s="11">
        <f t="shared" si="7"/>
        <v>35714.772729999997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146.43881999999999</v>
      </c>
      <c r="G96" s="132">
        <f t="shared" si="8"/>
        <v>33377.395729999997</v>
      </c>
      <c r="H96" s="132">
        <f t="shared" si="8"/>
        <v>4116.6042699999998</v>
      </c>
      <c r="I96" s="132">
        <f t="shared" si="8"/>
        <v>24400.106930000002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71.38161</f>
        <v>71.381609999999995</v>
      </c>
      <c r="G97" s="127">
        <f>5700.77546</f>
        <v>5700.7754599999998</v>
      </c>
      <c r="H97" s="127">
        <f t="shared" ref="H97:H104" si="9">E97-G97</f>
        <v>4314.2245400000002</v>
      </c>
      <c r="I97" s="127">
        <f>4517.06474</f>
        <v>4517.0647399999998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37.56131</f>
        <v>37.561309999999999</v>
      </c>
      <c r="G98" s="127">
        <f>10645.63197</f>
        <v>10645.63197</v>
      </c>
      <c r="H98" s="127">
        <f t="shared" si="9"/>
        <v>-31.631970000000365</v>
      </c>
      <c r="I98" s="127">
        <f>7627.45367</f>
        <v>7627.4536699999999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3.81524</f>
        <v>3.8152400000000002</v>
      </c>
      <c r="G99" s="127">
        <f>9996.83426</f>
        <v>9996.8342599999996</v>
      </c>
      <c r="H99" s="127">
        <f t="shared" si="9"/>
        <v>115.16574000000037</v>
      </c>
      <c r="I99" s="127">
        <f>6985.88235</f>
        <v>6985.8823499999999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33.68066</f>
        <v>33.680660000000003</v>
      </c>
      <c r="G100" s="127">
        <f>7034.15404</f>
        <v>7034.1540400000004</v>
      </c>
      <c r="H100" s="127">
        <f t="shared" si="9"/>
        <v>-281.15404000000035</v>
      </c>
      <c r="I100" s="127">
        <f>5269.70617</f>
        <v>5269.7061700000004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0.37278</f>
        <v>0.37278</v>
      </c>
      <c r="G101" s="132">
        <f>5755.00345</f>
        <v>5755.0034500000002</v>
      </c>
      <c r="H101" s="132">
        <f t="shared" si="9"/>
        <v>1840.9965499999998</v>
      </c>
      <c r="I101" s="132">
        <f>9077.95574</f>
        <v>9077.9557399999994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61.68093</f>
        <v>61.680929999999996</v>
      </c>
      <c r="G102" s="75">
        <f>2637.23537</f>
        <v>2637.2353699999999</v>
      </c>
      <c r="H102" s="75">
        <f t="shared" si="9"/>
        <v>1266.7646300000001</v>
      </c>
      <c r="I102" s="75">
        <f>2236.71006</f>
        <v>2236.7100599999999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0.3164</f>
        <v>0.31640000000000001</v>
      </c>
      <c r="G103" s="98">
        <f>36.47378</f>
        <v>36.473779999999998</v>
      </c>
      <c r="H103" s="98">
        <f t="shared" si="9"/>
        <v>282.52622000000002</v>
      </c>
      <c r="I103" s="98">
        <f>11.72545</f>
        <v>11.72545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0.10634</f>
        <v>0.10634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0.4504</f>
        <v>0.45040000000000002</v>
      </c>
      <c r="G105" s="98">
        <f>49.917</f>
        <v>49.917000000000002</v>
      </c>
      <c r="H105" s="139">
        <f>E105-G105</f>
        <v>8.2999999999998408E-2</v>
      </c>
      <c r="I105" s="98">
        <f>12.71436</f>
        <v>12.714359999999999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0.052</f>
        <v>5.1999999999999998E-2</v>
      </c>
      <c r="G106" s="139">
        <f>61.4135</f>
        <v>61.413499999999999</v>
      </c>
      <c r="H106" s="139">
        <f t="shared" ref="H106" si="10">E106-G106</f>
        <v>-61.413499999999999</v>
      </c>
      <c r="I106" s="139">
        <f>98.07376</f>
        <v>98.073759999999993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385.63357000000002</v>
      </c>
      <c r="G107" s="76">
        <f t="shared" si="12"/>
        <v>66417.848519999985</v>
      </c>
      <c r="H107" s="76">
        <f t="shared" si="12"/>
        <v>9206.1514799999986</v>
      </c>
      <c r="I107" s="76">
        <f t="shared" si="12"/>
        <v>78729.17637999999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1042.146</v>
      </c>
      <c r="G128" s="11">
        <f t="shared" si="13"/>
        <v>55943.090639999995</v>
      </c>
      <c r="H128" s="11">
        <f t="shared" si="13"/>
        <v>16363.90936</v>
      </c>
      <c r="I128" s="11">
        <f t="shared" si="13"/>
        <v>64443.997170000002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57562</v>
      </c>
      <c r="F129" s="23">
        <f>1042.146</f>
        <v>1042.146</v>
      </c>
      <c r="G129" s="23">
        <f>50177.39544</f>
        <v>50177.39544</v>
      </c>
      <c r="H129" s="23">
        <f>E129-G129</f>
        <v>7384.6045599999998</v>
      </c>
      <c r="I129" s="23">
        <f>56196.77577</f>
        <v>56196.77577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5689.36805</f>
        <v>5689.36805</v>
      </c>
      <c r="H130" s="23">
        <f>E130-G130</f>
        <v>8555.6319499999991</v>
      </c>
      <c r="I130" s="23">
        <f>8091.93535</f>
        <v>8091.9353499999997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76.32715</f>
        <v>76.327150000000003</v>
      </c>
      <c r="H131" s="55">
        <f>E131-G131</f>
        <v>423.67284999999998</v>
      </c>
      <c r="I131" s="23">
        <f>155.28605</f>
        <v>155.28604999999999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14.633</f>
        <v>14.632999999999999</v>
      </c>
      <c r="G132" s="95">
        <f>16605.0498+7183.0032</f>
        <v>23788.053</v>
      </c>
      <c r="H132" s="95">
        <f>E132-G132</f>
        <v>28707.947</v>
      </c>
      <c r="I132" s="95">
        <f>38979.52018</f>
        <v>38979.52018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775.26026999999999</v>
      </c>
      <c r="G133" s="94">
        <f t="shared" ref="G133" si="14">G134+G139+G142</f>
        <v>62121.722250000006</v>
      </c>
      <c r="H133" s="94">
        <f>H134+H139+H142</f>
        <v>18043.277750000001</v>
      </c>
      <c r="I133" s="94">
        <f>I134+I139+I142</f>
        <v>73936.050940000001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678.29791</v>
      </c>
      <c r="G134" s="125">
        <f>G135+G136+G138+G137</f>
        <v>46752.303740000003</v>
      </c>
      <c r="H134" s="125">
        <f>H135+H136+H137+H138</f>
        <v>12326.696259999999</v>
      </c>
      <c r="I134" s="125">
        <f>I135+I136+I137+I138</f>
        <v>58412.757239999999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212.11669</f>
        <v>212.11669000000001</v>
      </c>
      <c r="G135" s="127">
        <v>10775.44442</v>
      </c>
      <c r="H135" s="127">
        <f>E135-G135</f>
        <v>6998.5555800000002</v>
      </c>
      <c r="I135" s="127">
        <f>10343.33022</f>
        <v>10343.33022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191.14182</f>
        <v>191.14182</v>
      </c>
      <c r="G136" s="127">
        <v>13248.376955</v>
      </c>
      <c r="H136" s="127">
        <f>E136-G136</f>
        <v>1690.6230450000003</v>
      </c>
      <c r="I136" s="127">
        <f>15592.96993</f>
        <v>15592.969929999999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242.70585</f>
        <v>242.70585</v>
      </c>
      <c r="G137" s="127">
        <v>11810.482905000001</v>
      </c>
      <c r="H137" s="127">
        <f>E137-G137</f>
        <v>1240.5170949999992</v>
      </c>
      <c r="I137" s="127">
        <f>17597.42208</f>
        <v>17597.42208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32.33355</f>
        <v>32.333550000000002</v>
      </c>
      <c r="G138" s="127">
        <v>10917.999460000001</v>
      </c>
      <c r="H138" s="127">
        <f>E138-G138</f>
        <v>2397.0005399999991</v>
      </c>
      <c r="I138" s="127">
        <f>14879.03501</f>
        <v>14879.03501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3.4512</v>
      </c>
      <c r="G139" s="132">
        <f>SUM(G140:G141)</f>
        <v>8981.7220399999987</v>
      </c>
      <c r="H139" s="132">
        <f>H140+H141</f>
        <v>-51.72203999999914</v>
      </c>
      <c r="I139" s="132">
        <f>SUM(I140:I141)</f>
        <v>7579.3518000000004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8529.71684</f>
        <v>8529.7168399999991</v>
      </c>
      <c r="H140" s="127">
        <f t="shared" ref="H140:H148" si="15">E140-G140</f>
        <v>-99.716839999999138</v>
      </c>
      <c r="I140" s="127">
        <f>7306.61254</f>
        <v>7306.6125400000001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3.4512</f>
        <v>3.4512</v>
      </c>
      <c r="G141" s="127">
        <f>452.0052</f>
        <v>452.0052</v>
      </c>
      <c r="H141" s="127">
        <f t="shared" si="15"/>
        <v>47.994799999999998</v>
      </c>
      <c r="I141" s="127">
        <f>272.73926</f>
        <v>272.73926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12156</v>
      </c>
      <c r="F142" s="75">
        <f>93.51116</f>
        <v>93.511160000000004</v>
      </c>
      <c r="G142" s="75">
        <f>6387.69647</f>
        <v>6387.6964699999999</v>
      </c>
      <c r="H142" s="75">
        <f t="shared" si="15"/>
        <v>5768.3035300000001</v>
      </c>
      <c r="I142" s="75">
        <f>7943.9419</f>
        <v>7943.9418999999998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0.05805</f>
        <v>5.8049999999999997E-2</v>
      </c>
      <c r="G143" s="139">
        <f>16.2215</f>
        <v>16.221499999999999</v>
      </c>
      <c r="H143" s="139">
        <f t="shared" si="15"/>
        <v>129.77850000000001</v>
      </c>
      <c r="I143" s="139">
        <f>33.14893</f>
        <v>33.14893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1.45576</f>
        <v>1.4557599999999999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0.027</f>
        <v>2.7E-2</v>
      </c>
      <c r="G147" s="98">
        <f>72.12981</f>
        <v>72.129810000000006</v>
      </c>
      <c r="H147" s="139">
        <f t="shared" si="15"/>
        <v>203.87018999999998</v>
      </c>
      <c r="I147" s="98">
        <f>28.66701</f>
        <v>28.667010000000001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20.017</f>
        <v>20.016999999999999</v>
      </c>
      <c r="G148" s="139">
        <f>272.21844</f>
        <v>272.21843999999999</v>
      </c>
      <c r="H148" s="139">
        <f t="shared" si="15"/>
        <v>-272.21843999999999</v>
      </c>
      <c r="I148" s="139">
        <f>455.44663</f>
        <v>455.44663000000003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1853.5970800000002</v>
      </c>
      <c r="G150" s="76">
        <f>G128+G132+G133+G143+G144+G145+G146+G147+G148</f>
        <v>144469.47164000003</v>
      </c>
      <c r="H150" s="76">
        <f>H128+H132+H133+H143+H144+H145+H146+H147+H148</f>
        <v>63170.528360000004</v>
      </c>
      <c r="I150" s="76">
        <f>I128+I132+I133+I143+I144+I145+I146+I147+I148</f>
        <v>180139.41186000002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35.14514</f>
        <v>35.145139999999998</v>
      </c>
      <c r="F175" s="276">
        <f>1297.28331</f>
        <v>1297.28331</v>
      </c>
      <c r="G175" s="43">
        <f>D175-F175-F176</f>
        <v>1358.8514500000001</v>
      </c>
      <c r="H175" s="276">
        <f>1919.42762</f>
        <v>1919.4276199999999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0</f>
        <v>0</v>
      </c>
      <c r="F176" s="152">
        <f>1566.86524</f>
        <v>1566.8652400000001</v>
      </c>
      <c r="G176" s="217"/>
      <c r="H176" s="152">
        <f>1952.75595</f>
        <v>1952.75595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125.67627</f>
        <v>125.67627</v>
      </c>
      <c r="G177" s="172">
        <f>D177-F177</f>
        <v>74.323729999999998</v>
      </c>
      <c r="H177" s="172">
        <f>74.78946</f>
        <v>74.789460000000005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2.10914</v>
      </c>
      <c r="F178" s="181">
        <f>F179+F180+F181</f>
        <v>5981.4270399999996</v>
      </c>
      <c r="G178" s="181">
        <f>D178-F178</f>
        <v>352.57296000000042</v>
      </c>
      <c r="H178" s="181">
        <f>H179+H180+H181</f>
        <v>8162.1668699999991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0.06376</f>
        <v>6.3759999999999997E-2</v>
      </c>
      <c r="F179" s="127">
        <f>3091.87522</f>
        <v>3091.8752199999999</v>
      </c>
      <c r="G179" s="127"/>
      <c r="H179" s="127">
        <f>4189.18974</f>
        <v>4189.1897399999998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1.30998</f>
        <v>1.3099799999999999</v>
      </c>
      <c r="F180" s="127">
        <f>1828.91058</f>
        <v>1828.91058</v>
      </c>
      <c r="G180" s="127"/>
      <c r="H180" s="127">
        <f>2519.99958</f>
        <v>2519.9995800000002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0.7354</f>
        <v>0.73540000000000005</v>
      </c>
      <c r="F181" s="192">
        <f>1060.64124</f>
        <v>1060.6412399999999</v>
      </c>
      <c r="G181" s="192"/>
      <c r="H181" s="192">
        <f>1452.97755</f>
        <v>1452.9775500000001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37.254279999999994</v>
      </c>
      <c r="F184" s="194">
        <f>F175+F176+F177+F178+F182+F183</f>
        <v>8971.2518600000003</v>
      </c>
      <c r="G184" s="194">
        <f>D184-F184</f>
        <v>1851.7481399999997</v>
      </c>
      <c r="H184" s="194">
        <f>H175+H176+H177+H178+H182+H183</f>
        <v>12109.139899999998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288.06539</f>
        <v>288.06538999999998</v>
      </c>
      <c r="F204" s="124">
        <f>42633.82413</f>
        <v>42633.824130000001</v>
      </c>
      <c r="G204" s="124">
        <f>D204-F204</f>
        <v>3648.1758699999991</v>
      </c>
      <c r="H204" s="124">
        <f>41795.33632</f>
        <v>41795.336320000002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0.004</f>
        <v>4.0000000000000001E-3</v>
      </c>
      <c r="F205" s="124">
        <f>41.30856</f>
        <v>41.30856</v>
      </c>
      <c r="G205" s="124">
        <f>D205-F205</f>
        <v>58.69144</v>
      </c>
      <c r="H205" s="124">
        <f>67.56543</f>
        <v>67.565430000000006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288.06939</v>
      </c>
      <c r="F207" s="190">
        <f>SUM(F204:F206)</f>
        <v>42675.132689999999</v>
      </c>
      <c r="G207" s="190">
        <f>D207-F207</f>
        <v>3742.8673100000015</v>
      </c>
      <c r="H207" s="190">
        <f>SUM(H204:H206)</f>
        <v>41862.901750000005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11.3218</v>
      </c>
      <c r="F249" s="75">
        <f>F250+F251</f>
        <v>4276.8136000000004</v>
      </c>
      <c r="G249" s="75">
        <f>D249-F249</f>
        <v>-289.81360000000041</v>
      </c>
      <c r="H249" s="75">
        <f>H250+H251</f>
        <v>4280.7947599999998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2.7258</f>
        <v>2.7258</v>
      </c>
      <c r="F250" s="75">
        <f>3644.79201</f>
        <v>3644.7920100000001</v>
      </c>
      <c r="G250" s="75"/>
      <c r="H250" s="75">
        <f>3619.10029</f>
        <v>3619.1002899999999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8.596</f>
        <v>8.5960000000000001</v>
      </c>
      <c r="F251" s="124">
        <f>632.02159</f>
        <v>632.02158999999995</v>
      </c>
      <c r="G251" s="168"/>
      <c r="H251" s="124">
        <f>661.69447</f>
        <v>661.69447000000002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30.63644</f>
        <v>30.63644</v>
      </c>
      <c r="F252" s="75">
        <f>5427.4584</f>
        <v>5427.4584000000004</v>
      </c>
      <c r="G252" s="75">
        <f>D252-F252</f>
        <v>-814.45840000000044</v>
      </c>
      <c r="H252" s="75">
        <f>5517.00554</f>
        <v>5517.0055400000001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41.958240000000004</v>
      </c>
      <c r="F253" s="190">
        <f>SUM(F249,F252)</f>
        <v>9704.2720000000008</v>
      </c>
      <c r="G253" s="190">
        <f>D253-F253</f>
        <v>-1104.2720000000008</v>
      </c>
      <c r="H253" s="190">
        <f>SUM(H249,H252)</f>
        <v>9797.800299999999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9.9087999999999994</v>
      </c>
      <c r="F295" s="75">
        <f>F296+F297</f>
        <v>5382.8402299999998</v>
      </c>
      <c r="G295" s="75">
        <f>D295-F295</f>
        <v>-292.84022999999979</v>
      </c>
      <c r="H295" s="75">
        <f>H296+H297</f>
        <v>6055.3640099999993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0.4506</f>
        <v>0.4506</v>
      </c>
      <c r="F296" s="75">
        <f>4842.0031</f>
        <v>4842.0030999999999</v>
      </c>
      <c r="G296" s="75"/>
      <c r="H296" s="75">
        <f>5541.44896</f>
        <v>5541.4489599999997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9.4582</f>
        <v>9.4581999999999997</v>
      </c>
      <c r="F297" s="124">
        <f>540.83713</f>
        <v>540.83713</v>
      </c>
      <c r="G297" s="168"/>
      <c r="H297" s="124">
        <f>513.91505</f>
        <v>513.91504999999995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72.70852</f>
        <v>72.708519999999993</v>
      </c>
      <c r="F298" s="75">
        <f>3054.02837</f>
        <v>3054.02837</v>
      </c>
      <c r="G298" s="75">
        <f>D298-F298</f>
        <v>-73.028369999999995</v>
      </c>
      <c r="H298" s="75">
        <f>3878.10788</f>
        <v>3878.10788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82.617319999999992</v>
      </c>
      <c r="F299" s="190">
        <f>SUM(F295,F298)</f>
        <v>8436.8685999999998</v>
      </c>
      <c r="G299" s="190">
        <f>D299-F299</f>
        <v>-365.86859999999979</v>
      </c>
      <c r="H299" s="190">
        <f>SUM(H295,H298)</f>
        <v>9933.4718899999989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5.0144</f>
        <v>5.0144000000000002</v>
      </c>
      <c r="F350" s="124">
        <f>642.14786</f>
        <v>642.14786000000004</v>
      </c>
      <c r="G350" s="124">
        <f>D350-F350</f>
        <v>157.85213999999996</v>
      </c>
      <c r="H350" s="124">
        <f>568.80208</f>
        <v>568.80208000000005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121.35213</f>
        <v>121.35213</v>
      </c>
      <c r="F351" s="124">
        <f>2470.15999</f>
        <v>2470.1599900000001</v>
      </c>
      <c r="G351" s="124">
        <f>D351-F351</f>
        <v>570.84000999999989</v>
      </c>
      <c r="H351" s="124">
        <f>2777.83117</f>
        <v>2777.8311699999999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0.177</f>
        <v>0.17699999999999999</v>
      </c>
      <c r="F352" s="168">
        <f>3.78662</f>
        <v>3.7866200000000001</v>
      </c>
      <c r="G352" s="124">
        <f>D352-F352</f>
        <v>6.2133799999999999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0.391</f>
        <v>0.39100000000000001</v>
      </c>
      <c r="F353" s="168">
        <f>1.038</f>
        <v>1.038</v>
      </c>
      <c r="G353" s="124">
        <f>D353-F353</f>
        <v>-1.038</v>
      </c>
      <c r="H353" s="168">
        <f>1.78973</f>
        <v>1.78973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126.93453000000001</v>
      </c>
      <c r="F354" s="190">
        <f>SUM(F350:F353)</f>
        <v>3117.13247</v>
      </c>
      <c r="G354" s="190">
        <f>D354-F354</f>
        <v>733.86752999999999</v>
      </c>
      <c r="H354" s="190">
        <f>H350+H351+H352+H353</f>
        <v>3351.1617199999996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55.078690000000009</v>
      </c>
      <c r="G380" s="253">
        <f t="shared" si="17"/>
        <v>19485.78902</v>
      </c>
      <c r="H380" s="253">
        <f>H384+H383+H382+H381</f>
        <v>3483.2109799999998</v>
      </c>
      <c r="I380" s="253">
        <f t="shared" si="17"/>
        <v>16748.030890000002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10.73385</f>
        <v>10.73385</v>
      </c>
      <c r="G381" s="257">
        <f>12916.89774</f>
        <v>12916.89774</v>
      </c>
      <c r="H381" s="257">
        <f t="shared" ref="H381:H385" si="18">E381-G381</f>
        <v>273.10225999999966</v>
      </c>
      <c r="I381" s="257">
        <f>10028.11864</f>
        <v>10028.118640000001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1998.07392</f>
        <v>1998.07392</v>
      </c>
      <c r="H382" s="257">
        <f t="shared" si="18"/>
        <v>1434.92608</v>
      </c>
      <c r="I382" s="257">
        <f>1599.53535</f>
        <v>1599.5353500000001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25.28424</f>
        <v>25.28424</v>
      </c>
      <c r="G383" s="257">
        <f>2057.28885</f>
        <v>2057.2888499999999</v>
      </c>
      <c r="H383" s="257">
        <f t="shared" si="18"/>
        <v>-574.28884999999991</v>
      </c>
      <c r="I383" s="257">
        <f>1969.7796</f>
        <v>1969.7796000000001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19.0606</f>
        <v>19.060600000000001</v>
      </c>
      <c r="G384" s="257">
        <f>2513.52851</f>
        <v>2513.5285100000001</v>
      </c>
      <c r="H384" s="257">
        <f t="shared" si="18"/>
        <v>2349.4714899999999</v>
      </c>
      <c r="I384" s="257">
        <f>3150.5973</f>
        <v>3150.5972999999999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0.288</f>
        <v>0.28799999999999998</v>
      </c>
      <c r="G385" s="268">
        <f>2164.10778</f>
        <v>2164.1077799999998</v>
      </c>
      <c r="H385" s="268">
        <f t="shared" si="18"/>
        <v>3335.8922200000002</v>
      </c>
      <c r="I385" s="268">
        <f>5112.13128</f>
        <v>5112.1312799999996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75.985619999999997</v>
      </c>
      <c r="G386" s="269">
        <f>G388+G387</f>
        <v>3999.9047399999999</v>
      </c>
      <c r="H386" s="269">
        <f>E386-G386</f>
        <v>4000.0952600000001</v>
      </c>
      <c r="I386" s="269">
        <f>I388+I387</f>
        <v>4527.2089900000001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13.28793</f>
        <v>13.287929999999999</v>
      </c>
      <c r="G387" s="257">
        <f>1060.24902</f>
        <v>1060.24902</v>
      </c>
      <c r="H387" s="257"/>
      <c r="I387" s="257">
        <f>862.46423</f>
        <v>862.46423000000004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62.69769</f>
        <v>62.697690000000001</v>
      </c>
      <c r="G388" s="278">
        <f>2939.65572</f>
        <v>2939.6557200000002</v>
      </c>
      <c r="H388" s="278"/>
      <c r="I388" s="278">
        <f>3664.74476</f>
        <v>3664.74476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0.0081</f>
        <v>8.0999999999999996E-3</v>
      </c>
      <c r="G389" s="268">
        <f>0.1565</f>
        <v>0.1565</v>
      </c>
      <c r="H389" s="268">
        <f>E389-G389</f>
        <v>12.843500000000001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0.15156</f>
        <v>0.15156</v>
      </c>
      <c r="G390" s="268">
        <f>107.565</f>
        <v>107.565</v>
      </c>
      <c r="H390" s="268">
        <f>E390-G390</f>
        <v>-107.565</v>
      </c>
      <c r="I390" s="268">
        <f>119.04325</f>
        <v>119.04325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131.51196999999999</v>
      </c>
      <c r="G391" s="287">
        <f t="shared" si="19"/>
        <v>25757.52304</v>
      </c>
      <c r="H391" s="287">
        <f>H380+H385+H386+H389+H390</f>
        <v>10724.47696</v>
      </c>
      <c r="I391" s="287">
        <f t="shared" si="19"/>
        <v>26507.162910000003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8" t="s">
        <v>138</v>
      </c>
      <c r="D407" s="308"/>
      <c r="E407" s="308"/>
      <c r="F407" s="308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1023.18488</v>
      </c>
      <c r="G413" s="85">
        <f>D413-F413</f>
        <v>-129.18488000000002</v>
      </c>
      <c r="H413" s="26">
        <f>SUM(H414:H415)</f>
        <v>988.40122999999994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0</f>
        <v>0</v>
      </c>
      <c r="F414" s="205">
        <f>779.26008</f>
        <v>779.26008000000002</v>
      </c>
      <c r="G414" s="206"/>
      <c r="H414" s="205">
        <f>753.71223</f>
        <v>753.71222999999998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0</f>
        <v>0</v>
      </c>
      <c r="F415" s="208">
        <f>243.9248</f>
        <v>243.9248</v>
      </c>
      <c r="G415" s="209"/>
      <c r="H415" s="208">
        <f>234.689</f>
        <v>234.68899999999999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83.387599999999992</v>
      </c>
      <c r="F416" s="26">
        <f>SUM(F417:F418)</f>
        <v>84.239599999999996</v>
      </c>
      <c r="G416" s="85">
        <f>D416-F416</f>
        <v>809.7604</v>
      </c>
      <c r="H416" s="26">
        <f>SUM(H417:H418)</f>
        <v>96.547799999999995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60.0325</f>
        <v>60.032499999999999</v>
      </c>
      <c r="F417" s="30">
        <f>60.6235</f>
        <v>60.6235</v>
      </c>
      <c r="G417" s="97"/>
      <c r="H417" s="30">
        <f>67.8215</f>
        <v>67.8215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23.3551</f>
        <v>23.3551</v>
      </c>
      <c r="F418" s="30">
        <f>23.6161</f>
        <v>23.616099999999999</v>
      </c>
      <c r="G418" s="108"/>
      <c r="H418" s="30">
        <f>28.7263</f>
        <v>28.726299999999998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83.387599999999992</v>
      </c>
      <c r="F423" s="40">
        <f>F413+F416+F419+F422</f>
        <v>1107.4244800000001</v>
      </c>
      <c r="G423" s="41">
        <f>D423-F423</f>
        <v>1573.5755199999999</v>
      </c>
      <c r="H423" s="40">
        <f>H413+H416+H419+H422</f>
        <v>1084.94903</v>
      </c>
      <c r="I423" s="27"/>
      <c r="J423" s="130"/>
    </row>
    <row r="424" spans="1:10" ht="42" customHeight="1" x14ac:dyDescent="0.35">
      <c r="A424" s="218"/>
      <c r="B424" s="72"/>
      <c r="C424" s="301" t="s">
        <v>117</v>
      </c>
      <c r="D424" s="301"/>
      <c r="E424" s="301"/>
      <c r="F424" s="301"/>
      <c r="G424" s="301"/>
      <c r="H424" s="301"/>
      <c r="I424" s="301"/>
      <c r="J424" s="302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45&amp;R11.11.2024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2024-11-11T09:21:16Z</dcterms:modified>
</cp:coreProperties>
</file>