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78E574D6-5EC4-4172-92E4-6C6D29A1F8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H294" i="1"/>
  <c r="H304" i="1" s="1"/>
  <c r="E294" i="1"/>
  <c r="E304" i="1" s="1"/>
  <c r="D273" i="1"/>
  <c r="I272" i="1"/>
  <c r="G272" i="1"/>
  <c r="H272" i="1" s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F268" i="1" s="1"/>
  <c r="I269" i="1"/>
  <c r="G269" i="1"/>
  <c r="F269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H265" i="1" s="1"/>
  <c r="F265" i="1"/>
  <c r="I264" i="1"/>
  <c r="G264" i="1"/>
  <c r="H264" i="1" s="1"/>
  <c r="F264" i="1"/>
  <c r="F262" i="1" s="1"/>
  <c r="I263" i="1"/>
  <c r="G263" i="1"/>
  <c r="H263" i="1" s="1"/>
  <c r="F263" i="1"/>
  <c r="G262" i="1"/>
  <c r="E262" i="1"/>
  <c r="E273" i="1" s="1"/>
  <c r="D262" i="1"/>
  <c r="H254" i="1"/>
  <c r="F254" i="1"/>
  <c r="D251" i="1"/>
  <c r="D250" i="1"/>
  <c r="F241" i="1"/>
  <c r="G241" i="1" s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F215" i="1" s="1"/>
  <c r="E217" i="1"/>
  <c r="E215" i="1" s="1"/>
  <c r="E219" i="1" s="1"/>
  <c r="H216" i="1"/>
  <c r="H215" i="1" s="1"/>
  <c r="H219" i="1" s="1"/>
  <c r="F216" i="1"/>
  <c r="E216" i="1"/>
  <c r="D206" i="1"/>
  <c r="H205" i="1"/>
  <c r="F205" i="1"/>
  <c r="G205" i="1" s="1"/>
  <c r="E205" i="1"/>
  <c r="H204" i="1"/>
  <c r="H202" i="1" s="1"/>
  <c r="H206" i="1" s="1"/>
  <c r="F204" i="1"/>
  <c r="E204" i="1"/>
  <c r="H203" i="1"/>
  <c r="F203" i="1"/>
  <c r="E203" i="1"/>
  <c r="F202" i="1"/>
  <c r="F206" i="1" s="1"/>
  <c r="G206" i="1" s="1"/>
  <c r="E202" i="1"/>
  <c r="E206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 s="1"/>
  <c r="H162" i="1"/>
  <c r="F162" i="1"/>
  <c r="G162" i="1" s="1"/>
  <c r="E162" i="1"/>
  <c r="H161" i="1"/>
  <c r="F161" i="1"/>
  <c r="E161" i="1"/>
  <c r="H160" i="1"/>
  <c r="F160" i="1"/>
  <c r="E160" i="1"/>
  <c r="E169" i="1" s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I126" i="1" s="1"/>
  <c r="G128" i="1"/>
  <c r="H128" i="1" s="1"/>
  <c r="F128" i="1"/>
  <c r="I127" i="1"/>
  <c r="G127" i="1"/>
  <c r="H127" i="1" s="1"/>
  <c r="H126" i="1" s="1"/>
  <c r="F127" i="1"/>
  <c r="F126" i="1" s="1"/>
  <c r="F120" i="1" s="1"/>
  <c r="G126" i="1"/>
  <c r="E126" i="1"/>
  <c r="D126" i="1"/>
  <c r="I125" i="1"/>
  <c r="G125" i="1"/>
  <c r="H125" i="1" s="1"/>
  <c r="F125" i="1"/>
  <c r="I124" i="1"/>
  <c r="G124" i="1"/>
  <c r="H124" i="1" s="1"/>
  <c r="F124" i="1"/>
  <c r="I123" i="1"/>
  <c r="G123" i="1"/>
  <c r="H123" i="1" s="1"/>
  <c r="F123" i="1"/>
  <c r="I122" i="1"/>
  <c r="I121" i="1" s="1"/>
  <c r="I120" i="1" s="1"/>
  <c r="G122" i="1"/>
  <c r="H122" i="1" s="1"/>
  <c r="H121" i="1" s="1"/>
  <c r="F122" i="1"/>
  <c r="G121" i="1"/>
  <c r="G120" i="1" s="1"/>
  <c r="F121" i="1"/>
  <c r="E121" i="1"/>
  <c r="D121" i="1"/>
  <c r="E120" i="1"/>
  <c r="D120" i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I116" i="1"/>
  <c r="G116" i="1"/>
  <c r="H116" i="1" s="1"/>
  <c r="F116" i="1"/>
  <c r="F115" i="1" s="1"/>
  <c r="F137" i="1" s="1"/>
  <c r="I115" i="1"/>
  <c r="E115" i="1"/>
  <c r="E137" i="1" s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I83" i="1" s="1"/>
  <c r="I82" i="1" s="1"/>
  <c r="H85" i="1"/>
  <c r="H83" i="1" s="1"/>
  <c r="H82" i="1" s="1"/>
  <c r="G85" i="1"/>
  <c r="F85" i="1"/>
  <c r="I84" i="1"/>
  <c r="H84" i="1"/>
  <c r="G84" i="1"/>
  <c r="F84" i="1"/>
  <c r="G83" i="1"/>
  <c r="F83" i="1"/>
  <c r="E83" i="1"/>
  <c r="D83" i="1"/>
  <c r="G82" i="1"/>
  <c r="F82" i="1"/>
  <c r="E82" i="1"/>
  <c r="D82" i="1"/>
  <c r="I81" i="1"/>
  <c r="H81" i="1"/>
  <c r="G81" i="1"/>
  <c r="F81" i="1"/>
  <c r="I80" i="1"/>
  <c r="I79" i="1" s="1"/>
  <c r="H80" i="1"/>
  <c r="H79" i="1" s="1"/>
  <c r="G80" i="1"/>
  <c r="G79" i="1" s="1"/>
  <c r="G94" i="1" s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G31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G34" i="1"/>
  <c r="G33" i="1" s="1"/>
  <c r="F34" i="1"/>
  <c r="F33" i="1" s="1"/>
  <c r="I33" i="1"/>
  <c r="E33" i="1"/>
  <c r="D33" i="1"/>
  <c r="I32" i="1"/>
  <c r="H32" i="1"/>
  <c r="G32" i="1"/>
  <c r="F32" i="1"/>
  <c r="I30" i="1"/>
  <c r="G30" i="1"/>
  <c r="H30" i="1" s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E26" i="1"/>
  <c r="D26" i="1"/>
  <c r="E25" i="1"/>
  <c r="D25" i="1"/>
  <c r="I24" i="1"/>
  <c r="H24" i="1"/>
  <c r="G24" i="1"/>
  <c r="F24" i="1"/>
  <c r="F22" i="1" s="1"/>
  <c r="I23" i="1"/>
  <c r="I22" i="1" s="1"/>
  <c r="H23" i="1"/>
  <c r="H22" i="1" s="1"/>
  <c r="G23" i="1"/>
  <c r="G22" i="1" s="1"/>
  <c r="F23" i="1"/>
  <c r="E22" i="1"/>
  <c r="E42" i="1" s="1"/>
  <c r="D22" i="1"/>
  <c r="D42" i="1" s="1"/>
  <c r="H16" i="1"/>
  <c r="F16" i="1"/>
  <c r="D16" i="1"/>
  <c r="F25" i="1" l="1"/>
  <c r="F42" i="1" s="1"/>
  <c r="F26" i="1"/>
  <c r="H120" i="1"/>
  <c r="F273" i="1"/>
  <c r="H33" i="1"/>
  <c r="F169" i="1"/>
  <c r="G169" i="1" s="1"/>
  <c r="I26" i="1"/>
  <c r="I94" i="1"/>
  <c r="I137" i="1"/>
  <c r="H94" i="1"/>
  <c r="G273" i="1"/>
  <c r="F304" i="1"/>
  <c r="G304" i="1" s="1"/>
  <c r="G294" i="1"/>
  <c r="I25" i="1"/>
  <c r="I42" i="1" s="1"/>
  <c r="H262" i="1"/>
  <c r="H273" i="1" s="1"/>
  <c r="G26" i="1"/>
  <c r="G25" i="1" s="1"/>
  <c r="G42" i="1" s="1"/>
  <c r="H31" i="1"/>
  <c r="H26" i="1" s="1"/>
  <c r="H115" i="1"/>
  <c r="H137" i="1" s="1"/>
  <c r="H169" i="1"/>
  <c r="G215" i="1"/>
  <c r="F219" i="1"/>
  <c r="G219" i="1" s="1"/>
  <c r="G160" i="1"/>
  <c r="H34" i="1"/>
  <c r="G115" i="1"/>
  <c r="G137" i="1" s="1"/>
  <c r="G192" i="1"/>
  <c r="H192" i="1" s="1"/>
  <c r="G202" i="1"/>
  <c r="H25" i="1" l="1"/>
  <c r="H42" i="1" s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<sst xmlns="http://schemas.openxmlformats.org/spreadsheetml/2006/main" count="351" uniqueCount="154">
  <si>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</si>
  <si>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</si>
  <si>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</si>
  <si>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</si>
  <si>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</si>
  <si>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</si>
  <si>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</si>
  <si>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</si>
  <si>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</si>
  <si>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</si>
  <si>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</si>
  <si>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</si>
  <si>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</si>
  <si>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</si>
  <si>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</si>
  <si>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</si>
  <si>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</si>
  <si>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</si>
  <si>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</si>
  <si>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</si>
  <si>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</si>
  <si>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</si>
  <si>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</si>
  <si>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</si>
  <si>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</si>
  <si>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</si>
  <si>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</si>
  <si>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</si>
  <si>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</si>
  <si>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</si>
  <si>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</si>
  <si>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</si>
  <si>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</si>
  <si>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</si>
  <si>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</si>
  <si>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</si>
  <si>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</si>
  <si>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</si>
  <si>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</si>
  <si>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</si>
  <si>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</si>
  <si>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</si>
  <si>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</si>
  <si>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</si>
  <si>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</si>
  <si>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</si>
  <si>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</si>
  <si>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</si>
  <si>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</si>
  <si>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</si>
  <si>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</si>
  <si>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</si>
  <si>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</si>
  <si>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</si>
  <si>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</si>
  <si>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</si>
  <si>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</si>
  <si>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</si>
  <si>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</si>
  <si>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</si>
  <si>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</si>
  <si>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</si>
  <si>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</si>
  <si>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</si>
  <si>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</si>
  <si>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</si>
  <si>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</si>
  <si>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</si>
  <si>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</si>
  <si>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</si>
  <si>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</si>
  <si>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</si>
  <si>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</si>
  <si>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</si>
  <si>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</si>
  <si>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</si>
  <si>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</si>
  <si>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</si>
  <si>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</si>
  <si>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</si>
  <si>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</si>
  <si>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</si>
  <si>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</si>
  <si>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</si>
  <si>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</si>
  <si>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</si>
  <si>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</si>
  <si>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</si>
  <si>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</si>
  <si>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</si>
  <si>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</si>
  <si>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</si>
  <si>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</si>
  <si>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</si>
  <si>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</si>
  <si>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</si>
  <si>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</si>
  <si>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</si>
  <si>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</si>
  <si>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</si>
  <si>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</si>
  <si>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</si>
  <si>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</si>
  <si>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</si>
  <si>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</si>
  <si>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</si>
  <si>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</si>
  <si>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</si>
  <si>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</si>
  <si>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</si>
  <si>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</si>
  <si>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</si>
  <si>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</si>
  <si>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</si>
  <si>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</si>
  <si>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</si>
  <si>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</si>
  <si>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</si>
  <si>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</si>
  <si>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</si>
  <si>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</si>
  <si>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</si>
  <si>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</si>
  <si>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</si>
  <si>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</si>
  <si>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</si>
  <si>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</si>
  <si>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</si>
  <si>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</si>
  <si>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</si>
  <si>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</si>
  <si>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</si>
  <si>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</si>
  <si>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</si>
  <si>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</si>
  <si>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</si>
  <si>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</si>
  <si>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</si>
  <si>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</si>
  <si>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</si>
  <si>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</si>
  <si>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</si>
  <si>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</si>
  <si>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</si>
  <si>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</si>
  <si>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32 tonn, men det legges til grunn at hele avsetningen tas</t>
  </si>
  <si>
    <t>4 Registrert rekreasjonsfiske utgjør 100 tonn, men det legges til grunn at hele avsetningen tas</t>
  </si>
  <si>
    <t>3 Registrert rekreasjonsfiske utgjør 415 tonn, men det legges til grunn at hele avsetningen tas</t>
  </si>
  <si>
    <t>FANGST UKE 16</t>
  </si>
  <si>
    <t>FANGST T.O.M UKE 16</t>
  </si>
  <si>
    <t>RESTKVOTER UKE 16</t>
  </si>
  <si>
    <t>FANGST T.O.M UKE 16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</si>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</sst>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279" zoomScale="101" zoomScaleNormal="55" zoomScaleSheetLayoutView="100" zoomScalePageLayoutView="85" workbookViewId="0">
      <selection activeCell="G286" sqref="G28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3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73"/>
      <c r="J11" s="245"/>
    </row>
    <row r="12" spans="1:10" ht="14.15" customHeight="1" x14ac:dyDescent="0.3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3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3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3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5" customHeight="1" x14ac:dyDescent="0.3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35">
      <c r="A17" s="101"/>
      <c r="B17" s="24"/>
      <c r="C17" s="301" t="s">
        <v>143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3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3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3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148</v>
      </c>
      <c r="G21" s="68" t="s">
        <v>149</v>
      </c>
      <c r="H21" s="68" t="s">
        <v>150</v>
      </c>
      <c r="I21" s="68" t="s">
        <v>151</v>
      </c>
      <c r="J21" s="279"/>
    </row>
    <row r="22" spans="1:10" ht="14.15" customHeight="1" x14ac:dyDescent="0.3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177.43799999999999</v>
      </c>
      <c r="G22" s="27">
        <f t="shared" si="0"/>
        <v>15797.231449999999</v>
      </c>
      <c r="H22" s="10">
        <f t="shared" si="0"/>
        <v>25788.768550000001</v>
      </c>
      <c r="I22" s="10">
        <f t="shared" si="0"/>
        <v>32939.727619999998</v>
      </c>
      <c r="J22" s="245"/>
    </row>
    <row r="23" spans="1:10" ht="14.15" customHeight="1" x14ac:dyDescent="0.35">
      <c r="A23" s="1"/>
      <c r="B23" s="255"/>
      <c r="C23" s="43" t="s">
        <v>20</v>
      </c>
      <c r="D23" s="44">
        <v>38040</v>
      </c>
      <c r="E23" s="44">
        <v>40823</v>
      </c>
      <c r="F23" s="22">
        <f>177.438</f>
        <v>177.43799999999999</v>
      </c>
      <c r="G23" s="22">
        <f>15606.57995</f>
        <v>15606.579949999999</v>
      </c>
      <c r="H23" s="22">
        <f>E23-G23</f>
        <v>25216.420050000001</v>
      </c>
      <c r="I23" s="22">
        <f>32542.09904</f>
        <v>32542.099040000001</v>
      </c>
      <c r="J23" s="245"/>
    </row>
    <row r="24" spans="1:10" ht="14.15" customHeight="1" x14ac:dyDescent="0.35">
      <c r="A24" s="1"/>
      <c r="B24" s="255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190.6515</f>
        <v>190.6515</v>
      </c>
      <c r="H24" s="22">
        <f>E24-G24</f>
        <v>572.34850000000006</v>
      </c>
      <c r="I24" s="22">
        <f>397.62858</f>
        <v>397.62858</v>
      </c>
      <c r="J24" s="245"/>
    </row>
    <row r="25" spans="1:10" ht="14.15" customHeight="1" x14ac:dyDescent="0.3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2557.1842200000001</v>
      </c>
      <c r="G25" s="10">
        <f t="shared" si="1"/>
        <v>86538.025280000002</v>
      </c>
      <c r="H25" s="10">
        <f t="shared" si="1"/>
        <v>35129.974719999998</v>
      </c>
      <c r="I25" s="10">
        <f t="shared" si="1"/>
        <v>105388.74625</v>
      </c>
      <c r="J25" s="245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1934.20903</v>
      </c>
      <c r="G26" s="129">
        <f>G27+G28+G29+G30+G31</f>
        <v>70606.026379999996</v>
      </c>
      <c r="H26" s="129">
        <f t="shared" ref="H26:I26" si="2">H27+H28+H29+H30+H31</f>
        <v>24286.973619999997</v>
      </c>
      <c r="I26" s="129">
        <f t="shared" si="2"/>
        <v>86553.28976</v>
      </c>
      <c r="J26" s="245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849.97597 - F55</f>
        <v>849.97596999999996</v>
      </c>
      <c r="G27" s="123">
        <f>20482.68012 - G55</f>
        <v>20482.680120000001</v>
      </c>
      <c r="H27" s="123">
        <f t="shared" ref="H27:H39" si="3">E27-G27</f>
        <v>4670.3198799999991</v>
      </c>
      <c r="I27" s="123">
        <f>23836.35608 - I55</f>
        <v>23836.356080000001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515.82538 - F56</f>
        <v>515.82538</v>
      </c>
      <c r="G28" s="123">
        <f>20549.19688 - G56</f>
        <v>20549.19688</v>
      </c>
      <c r="H28" s="123">
        <f t="shared" si="3"/>
        <v>3444.8031200000005</v>
      </c>
      <c r="I28" s="123">
        <f>25497.16396 - I56</f>
        <v>25497.163960000002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452.24596 - F57</f>
        <v>452.24596000000003</v>
      </c>
      <c r="G29" s="123">
        <f>18430.10825 - G57</f>
        <v>18430.108250000001</v>
      </c>
      <c r="H29" s="123">
        <f t="shared" si="3"/>
        <v>3439.8917499999989</v>
      </c>
      <c r="I29" s="123">
        <f>22295.96544 - I57</f>
        <v>22295.96544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218.16172 - F58</f>
        <v>116.16172</v>
      </c>
      <c r="G30" s="123">
        <f>12485.04113 - G58</f>
        <v>11144.04113</v>
      </c>
      <c r="H30" s="123">
        <f t="shared" si="3"/>
        <v>4500.9588700000004</v>
      </c>
      <c r="I30" s="123">
        <f>16872.80428 - I58</f>
        <v>14923.80428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0.60269</f>
        <v>0.60268999999999995</v>
      </c>
      <c r="G32" s="129">
        <f>5390.18911</f>
        <v>5390.1891100000003</v>
      </c>
      <c r="H32" s="129">
        <f t="shared" si="3"/>
        <v>8288.8108900000007</v>
      </c>
      <c r="I32" s="129">
        <f>7123.05356</f>
        <v>7123.0535600000003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622.37249999999995</v>
      </c>
      <c r="G33" s="129">
        <f>G34+G35</f>
        <v>10541.809789999999</v>
      </c>
      <c r="H33" s="129">
        <f t="shared" si="3"/>
        <v>2554.1902100000007</v>
      </c>
      <c r="I33" s="129">
        <f>I34+I35</f>
        <v>11712.40293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622.3725 - F59 - F60</f>
        <v>622.37249999999995</v>
      </c>
      <c r="G34" s="129">
        <f>10541.80979 - G59 - G60</f>
        <v>10541.809789999999</v>
      </c>
      <c r="H34" s="123">
        <f t="shared" si="3"/>
        <v>1594.1902100000007</v>
      </c>
      <c r="I34" s="123">
        <f>11712.40293 - I59 - I60</f>
        <v>11712.40293</v>
      </c>
      <c r="J34" s="63"/>
    </row>
    <row r="35" spans="1:10" ht="14.15" customHeight="1" x14ac:dyDescent="0.3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55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82.3602</f>
        <v>82.360200000000006</v>
      </c>
      <c r="H36" s="136">
        <f t="shared" si="3"/>
        <v>917.63980000000004</v>
      </c>
      <c r="I36" s="136">
        <f>344.7692</f>
        <v>344.76920000000001</v>
      </c>
      <c r="J36" s="245"/>
    </row>
    <row r="37" spans="1:10" ht="14.15" customHeight="1" x14ac:dyDescent="0.35">
      <c r="A37" s="1"/>
      <c r="B37" s="255"/>
      <c r="C37" s="70" t="s">
        <v>34</v>
      </c>
      <c r="D37" s="140">
        <v>855</v>
      </c>
      <c r="E37" s="140">
        <v>855</v>
      </c>
      <c r="F37" s="95">
        <f>5.673</f>
        <v>5.673</v>
      </c>
      <c r="G37" s="95">
        <f>505.91968</f>
        <v>505.91968000000003</v>
      </c>
      <c r="H37" s="95">
        <f t="shared" si="3"/>
        <v>349.08031999999997</v>
      </c>
      <c r="I37" s="95">
        <f>433.71918</f>
        <v>433.71917999999999</v>
      </c>
      <c r="J37" s="245"/>
    </row>
    <row r="38" spans="1:10" ht="17.25" customHeight="1" x14ac:dyDescent="0.3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102</v>
      </c>
      <c r="G38" s="95">
        <f>G58</f>
        <v>1341</v>
      </c>
      <c r="H38" s="95">
        <f t="shared" si="3"/>
        <v>1659</v>
      </c>
      <c r="I38" s="95">
        <f>I58</f>
        <v>1949</v>
      </c>
      <c r="J38" s="245"/>
    </row>
    <row r="39" spans="1:10" ht="17.25" customHeight="1" x14ac:dyDescent="0.35">
      <c r="A39" s="1"/>
      <c r="B39" s="255"/>
      <c r="C39" s="70" t="s">
        <v>36</v>
      </c>
      <c r="D39" s="140">
        <v>7000</v>
      </c>
      <c r="E39" s="140">
        <v>7000</v>
      </c>
      <c r="F39" s="95">
        <f>24.86265</f>
        <v>24.862649999999999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35">
      <c r="A40" s="1"/>
      <c r="B40" s="255"/>
      <c r="C40" s="70" t="s">
        <v>38</v>
      </c>
      <c r="D40" s="140">
        <v>450</v>
      </c>
      <c r="E40" s="140">
        <v>450</v>
      </c>
      <c r="F40" s="95">
        <f>9.63648</f>
        <v>9.6364800000000006</v>
      </c>
      <c r="G40" s="95">
        <f>303.89524</f>
        <v>303.89524</v>
      </c>
      <c r="H40" s="95">
        <f>E40-G40</f>
        <v>146.10476</v>
      </c>
      <c r="I40" s="95">
        <f>300.82161</f>
        <v>300.82161000000002</v>
      </c>
      <c r="J40" s="245"/>
    </row>
    <row r="41" spans="1:10" ht="14.15" customHeight="1" x14ac:dyDescent="0.35">
      <c r="A41" s="1"/>
      <c r="B41" s="255"/>
      <c r="C41" s="70" t="s">
        <v>39</v>
      </c>
      <c r="D41" s="140"/>
      <c r="E41" s="136"/>
      <c r="F41" s="136">
        <f>0</f>
        <v>0</v>
      </c>
      <c r="G41" s="136">
        <f>49.35553</f>
        <v>49.355530000000002</v>
      </c>
      <c r="H41" s="136">
        <f t="shared" ref="H41" si="4">E41-G41</f>
        <v>-49.355530000000002</v>
      </c>
      <c r="I41" s="136">
        <f>77.21176</f>
        <v>77.211759999999998</v>
      </c>
      <c r="J41" s="245"/>
    </row>
    <row r="42" spans="1:10" ht="16.5" customHeight="1" x14ac:dyDescent="0.3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2876.7943500000001</v>
      </c>
      <c r="G42" s="73">
        <f t="shared" si="5"/>
        <v>111617.78737999999</v>
      </c>
      <c r="H42" s="73">
        <f t="shared" si="5"/>
        <v>63941.212619999998</v>
      </c>
      <c r="I42" s="73">
        <f t="shared" si="5"/>
        <v>148433.99562</v>
      </c>
      <c r="J42" s="245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5" customHeight="1" x14ac:dyDescent="0.35">
      <c r="A45" s="101"/>
      <c r="B45" s="24"/>
      <c r="C45" s="156" t="s">
        <v>147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35">
      <c r="A49" s="101"/>
      <c r="B49" s="24"/>
      <c r="C49" s="293" t="s">
        <v>43</v>
      </c>
      <c r="D49" s="293"/>
      <c r="E49" s="293"/>
      <c r="F49" s="293"/>
      <c r="G49" s="293"/>
      <c r="H49" s="293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148</v>
      </c>
      <c r="G51" s="68" t="s">
        <v>149</v>
      </c>
      <c r="H51" s="68" t="s">
        <v>150</v>
      </c>
      <c r="I51" s="68" t="s">
        <v>151</v>
      </c>
      <c r="J51" s="245"/>
    </row>
    <row r="52" spans="1:10" ht="14.15" customHeight="1" x14ac:dyDescent="0.35">
      <c r="A52" s="101"/>
      <c r="B52" s="24"/>
      <c r="C52" s="15" t="s">
        <v>45</v>
      </c>
      <c r="D52" s="294">
        <v>7872</v>
      </c>
      <c r="E52" s="294">
        <v>8231</v>
      </c>
      <c r="F52" s="10">
        <f>F56+F55+F54+F53</f>
        <v>0</v>
      </c>
      <c r="G52" s="10">
        <f>G56+G55+G54+G53</f>
        <v>0</v>
      </c>
      <c r="H52" s="294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295"/>
      <c r="E53" s="295"/>
      <c r="F53" s="123"/>
      <c r="G53" s="123"/>
      <c r="H53" s="295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295"/>
      <c r="E54" s="295"/>
      <c r="F54" s="123"/>
      <c r="G54" s="123"/>
      <c r="H54" s="295"/>
      <c r="I54" s="123"/>
      <c r="J54" s="245"/>
    </row>
    <row r="55" spans="1:10" ht="14.15" customHeight="1" x14ac:dyDescent="0.35">
      <c r="A55" s="101"/>
      <c r="B55" s="24"/>
      <c r="C55" s="60" t="s">
        <v>26</v>
      </c>
      <c r="D55" s="295"/>
      <c r="E55" s="295"/>
      <c r="F55" s="123"/>
      <c r="G55" s="123"/>
      <c r="H55" s="295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296"/>
      <c r="E56" s="296"/>
      <c r="F56" s="186"/>
      <c r="G56" s="186"/>
      <c r="H56" s="296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45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102</v>
      </c>
      <c r="G58" s="136">
        <v>1341</v>
      </c>
      <c r="H58" s="136">
        <f>E58-G58</f>
        <v>1659</v>
      </c>
      <c r="I58" s="136">
        <v>1949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20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297" t="s">
        <v>1</v>
      </c>
      <c r="D68" s="298"/>
      <c r="E68" s="297" t="s">
        <v>2</v>
      </c>
      <c r="F68" s="299"/>
      <c r="G68" s="297" t="s">
        <v>3</v>
      </c>
      <c r="H68" s="298"/>
      <c r="I68" s="173"/>
      <c r="J68" s="245"/>
    </row>
    <row r="69" spans="1:10" ht="15" customHeight="1" x14ac:dyDescent="0.35">
      <c r="B69" s="255"/>
      <c r="C69" s="110" t="s">
        <v>142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3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5" customHeight="1" x14ac:dyDescent="0.3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3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35">
      <c r="A73" s="1"/>
      <c r="B73" s="255"/>
      <c r="C73" s="101" t="s">
        <v>144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3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5" customHeight="1" x14ac:dyDescent="0.3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3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3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148</v>
      </c>
      <c r="G78" s="14" t="s">
        <v>149</v>
      </c>
      <c r="H78" s="14" t="s">
        <v>150</v>
      </c>
      <c r="I78" s="14" t="s">
        <v>151</v>
      </c>
      <c r="J78" s="117"/>
    </row>
    <row r="79" spans="1:10" ht="14.15" customHeight="1" x14ac:dyDescent="0.3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478.49759999999998</v>
      </c>
      <c r="G79" s="10">
        <f t="shared" si="6"/>
        <v>16894.06365</v>
      </c>
      <c r="H79" s="10">
        <f t="shared" si="6"/>
        <v>9246.9363499999999</v>
      </c>
      <c r="I79" s="10">
        <f t="shared" si="6"/>
        <v>21809.093530000002</v>
      </c>
      <c r="J79" s="245"/>
    </row>
    <row r="80" spans="1:10" ht="15" customHeight="1" x14ac:dyDescent="0.35">
      <c r="A80" s="1"/>
      <c r="B80" s="255"/>
      <c r="C80" s="43" t="s">
        <v>20</v>
      </c>
      <c r="D80" s="44">
        <v>24216</v>
      </c>
      <c r="E80" s="44">
        <v>25316</v>
      </c>
      <c r="F80" s="22">
        <f>478.4976</f>
        <v>478.49759999999998</v>
      </c>
      <c r="G80" s="22">
        <f>16613.76265</f>
        <v>16613.762650000001</v>
      </c>
      <c r="H80" s="22">
        <f>E80-G80</f>
        <v>8702.2373499999994</v>
      </c>
      <c r="I80" s="22">
        <f>21062.36328</f>
        <v>21062.363280000001</v>
      </c>
      <c r="J80" s="245"/>
    </row>
    <row r="81" spans="1:10" ht="14.15" customHeight="1" x14ac:dyDescent="0.35">
      <c r="A81" s="1"/>
      <c r="B81" s="255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280.301</f>
        <v>280.30099999999999</v>
      </c>
      <c r="H81" s="48">
        <f>E81-G81</f>
        <v>544.69900000000007</v>
      </c>
      <c r="I81" s="48">
        <f>746.73025</f>
        <v>746.73024999999996</v>
      </c>
      <c r="J81" s="245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269.86705999999998</v>
      </c>
      <c r="G82" s="10">
        <f t="shared" si="7"/>
        <v>15295.34677</v>
      </c>
      <c r="H82" s="10">
        <f t="shared" si="7"/>
        <v>28833.653229999996</v>
      </c>
      <c r="I82" s="10">
        <f t="shared" si="7"/>
        <v>18821.227360000004</v>
      </c>
      <c r="J82" s="245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246.04872</v>
      </c>
      <c r="G83" s="129">
        <f t="shared" si="8"/>
        <v>12038.62552</v>
      </c>
      <c r="H83" s="129">
        <f t="shared" si="8"/>
        <v>20466.374479999999</v>
      </c>
      <c r="I83" s="129">
        <f t="shared" si="8"/>
        <v>13467.297170000002</v>
      </c>
      <c r="J83" s="245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39.4134</f>
        <v>39.413400000000003</v>
      </c>
      <c r="G84" s="123">
        <f>2286.23015</f>
        <v>2286.2301499999999</v>
      </c>
      <c r="H84" s="123">
        <f t="shared" ref="H84:H91" si="9">E84-G84</f>
        <v>6717.7698500000006</v>
      </c>
      <c r="I84" s="123">
        <f>3177.44292</f>
        <v>3177.44292</v>
      </c>
      <c r="J84" s="245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68.25971</f>
        <v>68.259709999999998</v>
      </c>
      <c r="G85" s="123">
        <f>2974.33416</f>
        <v>2974.3341599999999</v>
      </c>
      <c r="H85" s="123">
        <f t="shared" si="9"/>
        <v>6100.6658399999997</v>
      </c>
      <c r="I85" s="123">
        <f>4636.69142</f>
        <v>4636.6914200000001</v>
      </c>
      <c r="J85" s="245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66.12306</f>
        <v>66.123059999999995</v>
      </c>
      <c r="G86" s="123">
        <f>3469.62376</f>
        <v>3469.6237599999999</v>
      </c>
      <c r="H86" s="123">
        <f t="shared" si="9"/>
        <v>5179.3762399999996</v>
      </c>
      <c r="I86" s="123">
        <f>3511.50337</f>
        <v>3511.5033699999999</v>
      </c>
      <c r="J86" s="245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72.25255</f>
        <v>72.252549999999999</v>
      </c>
      <c r="G87" s="123">
        <f>3308.43745</f>
        <v>3308.4374499999999</v>
      </c>
      <c r="H87" s="123">
        <f t="shared" si="9"/>
        <v>2468.5625500000001</v>
      </c>
      <c r="I87" s="123">
        <f>2141.65946</f>
        <v>2141.6594599999999</v>
      </c>
      <c r="J87" s="245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0.53851</f>
        <v>0.53851000000000004</v>
      </c>
      <c r="G88" s="129">
        <f>2306.61641</f>
        <v>2306.6164100000001</v>
      </c>
      <c r="H88" s="129">
        <f t="shared" si="9"/>
        <v>5810.3835899999995</v>
      </c>
      <c r="I88" s="129">
        <f>3871.80725</f>
        <v>3871.8072499999998</v>
      </c>
      <c r="J88" s="245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23.27983</f>
        <v>23.27983</v>
      </c>
      <c r="G89" s="72">
        <f>950.10484</f>
        <v>950.10483999999997</v>
      </c>
      <c r="H89" s="72">
        <f t="shared" si="9"/>
        <v>2556.89516</v>
      </c>
      <c r="I89" s="72">
        <f>1482.12294</f>
        <v>1482.12294</v>
      </c>
      <c r="J89" s="245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0.01938</f>
        <v>1.9380000000000001E-2</v>
      </c>
      <c r="G90" s="95">
        <f>26.89177</f>
        <v>26.891770000000001</v>
      </c>
      <c r="H90" s="95">
        <f t="shared" si="9"/>
        <v>292.10822999999999</v>
      </c>
      <c r="I90" s="95">
        <f>35.79036</f>
        <v>35.79036</v>
      </c>
      <c r="J90" s="245"/>
    </row>
    <row r="91" spans="1:10" ht="18" customHeight="1" x14ac:dyDescent="0.35">
      <c r="A91" s="1"/>
      <c r="B91" s="255"/>
      <c r="C91" s="70" t="s">
        <v>54</v>
      </c>
      <c r="D91" s="140">
        <v>300</v>
      </c>
      <c r="E91" s="140">
        <v>300</v>
      </c>
      <c r="F91" s="136">
        <f>1.0751</f>
        <v>1.0750999999999999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35">
      <c r="A92" s="1"/>
      <c r="B92" s="255"/>
      <c r="C92" s="89" t="s">
        <v>38</v>
      </c>
      <c r="D92" s="140">
        <v>50</v>
      </c>
      <c r="E92" s="140">
        <v>50</v>
      </c>
      <c r="F92" s="95">
        <f>0.19624</f>
        <v>0.19624</v>
      </c>
      <c r="G92" s="95">
        <f>9.6467</f>
        <v>9.6466999999999992</v>
      </c>
      <c r="H92" s="136">
        <f>E92-G92</f>
        <v>40.353300000000004</v>
      </c>
      <c r="I92" s="95">
        <f>17.81478</f>
        <v>17.814779999999999</v>
      </c>
      <c r="J92" s="245"/>
    </row>
    <row r="93" spans="1:10" ht="18" customHeight="1" x14ac:dyDescent="0.35">
      <c r="A93" s="1"/>
      <c r="B93" s="255"/>
      <c r="C93" s="89" t="s">
        <v>55</v>
      </c>
      <c r="D93" s="140"/>
      <c r="E93" s="136"/>
      <c r="F93" s="136">
        <f>0</f>
        <v>0</v>
      </c>
      <c r="G93" s="136">
        <f>5.1097</f>
        <v>5.1097000000000001</v>
      </c>
      <c r="H93" s="136">
        <f t="shared" ref="H93" si="10">E93-G93</f>
        <v>-5.1097000000000001</v>
      </c>
      <c r="I93" s="136">
        <f>15.97624</f>
        <v>15.976240000000001</v>
      </c>
      <c r="J93" s="245"/>
    </row>
    <row r="94" spans="1:10" ht="16.5" customHeight="1" x14ac:dyDescent="0.3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749.65537999999992</v>
      </c>
      <c r="G94" s="73">
        <f t="shared" si="12"/>
        <v>32531.058590000001</v>
      </c>
      <c r="H94" s="73">
        <f t="shared" si="12"/>
        <v>38407.941409999999</v>
      </c>
      <c r="I94" s="73">
        <f t="shared" si="12"/>
        <v>40999.902270000006</v>
      </c>
      <c r="J94" s="245"/>
    </row>
    <row r="95" spans="1:10" ht="13.5" customHeight="1" x14ac:dyDescent="0.3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35">
      <c r="A96" s="1"/>
      <c r="B96" s="24"/>
      <c r="C96" s="156" t="s">
        <v>145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35">
      <c r="A97" s="1"/>
      <c r="B97" s="24"/>
      <c r="C97" s="156" t="s">
        <v>152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3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3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5" customHeight="1" x14ac:dyDescent="0.3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5" customHeight="1" x14ac:dyDescent="0.3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5" customHeight="1" x14ac:dyDescent="0.3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3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3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148</v>
      </c>
      <c r="G114" s="14" t="s">
        <v>149</v>
      </c>
      <c r="H114" s="14" t="s">
        <v>150</v>
      </c>
      <c r="I114" s="14" t="s">
        <v>151</v>
      </c>
      <c r="J114" s="279"/>
    </row>
    <row r="115" spans="1:10" ht="14.15" customHeight="1" x14ac:dyDescent="0.3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253.30994999999999</v>
      </c>
      <c r="G115" s="10">
        <f t="shared" si="13"/>
        <v>24997.579150000001</v>
      </c>
      <c r="H115" s="10">
        <f t="shared" si="13"/>
        <v>47292.420849999995</v>
      </c>
      <c r="I115" s="10">
        <f t="shared" si="13"/>
        <v>31215.232519999998</v>
      </c>
      <c r="J115" s="245"/>
    </row>
    <row r="116" spans="1:10" ht="14.15" customHeight="1" x14ac:dyDescent="0.35">
      <c r="A116" s="1"/>
      <c r="B116" s="255"/>
      <c r="C116" s="43" t="s">
        <v>20</v>
      </c>
      <c r="D116" s="44">
        <v>51830</v>
      </c>
      <c r="E116" s="44">
        <v>57471</v>
      </c>
      <c r="F116" s="22">
        <f>253.30995</f>
        <v>253.30994999999999</v>
      </c>
      <c r="G116" s="22">
        <f>22230.63665</f>
        <v>22230.63665</v>
      </c>
      <c r="H116" s="22">
        <f>E116-G116</f>
        <v>35240.36335</v>
      </c>
      <c r="I116" s="22">
        <f>27588.62939</f>
        <v>27588.629389999998</v>
      </c>
      <c r="J116" s="245"/>
    </row>
    <row r="117" spans="1:10" ht="15" customHeight="1" x14ac:dyDescent="0.35">
      <c r="A117" s="1"/>
      <c r="B117" s="255"/>
      <c r="C117" s="43" t="s">
        <v>21</v>
      </c>
      <c r="D117" s="44">
        <v>12457</v>
      </c>
      <c r="E117" s="44">
        <v>14319</v>
      </c>
      <c r="F117" s="22">
        <f>0</f>
        <v>0</v>
      </c>
      <c r="G117" s="22">
        <f>2701.5849</f>
        <v>2701.5848999999998</v>
      </c>
      <c r="H117" s="22">
        <f>E117-G117</f>
        <v>11617.4151</v>
      </c>
      <c r="I117" s="22">
        <f>3561.15298</f>
        <v>3561.1529799999998</v>
      </c>
      <c r="J117" s="245"/>
    </row>
    <row r="118" spans="1:10" ht="13.5" customHeight="1" x14ac:dyDescent="0.35">
      <c r="A118" s="1"/>
      <c r="B118" s="255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45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52305</v>
      </c>
      <c r="F119" s="92">
        <f>34</f>
        <v>34</v>
      </c>
      <c r="G119" s="92">
        <f>72.64065</f>
        <v>72.640649999999994</v>
      </c>
      <c r="H119" s="92">
        <f>E119-G119</f>
        <v>52232.359349999999</v>
      </c>
      <c r="I119" s="92">
        <f>54.073</f>
        <v>54.073</v>
      </c>
      <c r="J119" s="111"/>
    </row>
    <row r="120" spans="1:10" ht="15.75" customHeight="1" x14ac:dyDescent="0.3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720.31961000000013</v>
      </c>
      <c r="G120" s="91">
        <f t="shared" ref="G120" si="14">G121+G126+G129</f>
        <v>31774.80241</v>
      </c>
      <c r="H120" s="91">
        <f>H121+H126+H129</f>
        <v>41120.197589999996</v>
      </c>
      <c r="I120" s="91">
        <f>I121+I126+I129</f>
        <v>42521.363600000004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646.97249000000011</v>
      </c>
      <c r="G121" s="121">
        <f>G122+G123+G125+G124</f>
        <v>23689.76917</v>
      </c>
      <c r="H121" s="121">
        <f>H122+H123+H124+H125</f>
        <v>31044.23083</v>
      </c>
      <c r="I121" s="121">
        <f>I122+I123+I124+I125</f>
        <v>32216.247370000001</v>
      </c>
      <c r="J121" s="279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16279</v>
      </c>
      <c r="F122" s="123">
        <f>70.45153</f>
        <v>70.451530000000005</v>
      </c>
      <c r="G122" s="123">
        <f>5251.91437</f>
        <v>5251.9143700000004</v>
      </c>
      <c r="H122" s="123">
        <f>E122-G122</f>
        <v>11027.08563</v>
      </c>
      <c r="I122" s="123">
        <f>5766.21389</f>
        <v>5766.21389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13937</v>
      </c>
      <c r="F123" s="123">
        <f>25.84423</f>
        <v>25.84423</v>
      </c>
      <c r="G123" s="123">
        <f>7391.45626</f>
        <v>7391.4562599999999</v>
      </c>
      <c r="H123" s="123">
        <f>E123-G123</f>
        <v>6545.5437400000001</v>
      </c>
      <c r="I123" s="123">
        <f>9751.91848</f>
        <v>9751.9184800000003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11676</v>
      </c>
      <c r="F124" s="123">
        <f>315.39573</f>
        <v>315.39573000000001</v>
      </c>
      <c r="G124" s="123">
        <f>5279.34781</f>
        <v>5279.3478100000002</v>
      </c>
      <c r="H124" s="123">
        <f>E124-G124</f>
        <v>6396.6521899999998</v>
      </c>
      <c r="I124" s="123">
        <f>8387.83404</f>
        <v>8387.8340399999997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12842</v>
      </c>
      <c r="F125" s="123">
        <f>235.281</f>
        <v>235.28100000000001</v>
      </c>
      <c r="G125" s="123">
        <f>5767.05073</f>
        <v>5767.0507299999999</v>
      </c>
      <c r="H125" s="123">
        <f>E125-G125</f>
        <v>7074.9492700000001</v>
      </c>
      <c r="I125" s="123">
        <f>8310.28096</f>
        <v>8310.2809600000001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16.708649999999999</v>
      </c>
      <c r="G126" s="129">
        <f>SUM(G127:G128)</f>
        <v>5599.2498400000004</v>
      </c>
      <c r="H126" s="129">
        <f>H127+H128</f>
        <v>1431.7501599999996</v>
      </c>
      <c r="I126" s="129">
        <f>SUM(I127:I128)</f>
        <v>7683.88202</v>
      </c>
      <c r="J126" s="130"/>
    </row>
    <row r="127" spans="1:10" ht="14.15" customHeight="1" x14ac:dyDescent="0.35">
      <c r="A127" s="1"/>
      <c r="B127" s="255"/>
      <c r="C127" s="60" t="s">
        <v>66</v>
      </c>
      <c r="D127" s="61">
        <v>6819</v>
      </c>
      <c r="E127" s="61">
        <v>6531</v>
      </c>
      <c r="F127" s="123">
        <f>16.5264</f>
        <v>16.526399999999999</v>
      </c>
      <c r="G127" s="123">
        <f>5488.48166</f>
        <v>5488.4816600000004</v>
      </c>
      <c r="H127" s="123">
        <f t="shared" ref="H127:H135" si="15">E127-G127</f>
        <v>1042.5183399999996</v>
      </c>
      <c r="I127" s="123">
        <f>7491.94036</f>
        <v>7491.9403599999996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0.18225</f>
        <v>0.18225</v>
      </c>
      <c r="G128" s="123">
        <f>110.76818</f>
        <v>110.76818</v>
      </c>
      <c r="H128" s="123">
        <f t="shared" si="15"/>
        <v>389.23181999999997</v>
      </c>
      <c r="I128" s="123">
        <f>191.94166</f>
        <v>191.94166000000001</v>
      </c>
      <c r="J128" s="131"/>
    </row>
    <row r="129" spans="1:10" ht="15.75" customHeight="1" x14ac:dyDescent="0.35">
      <c r="A129" s="1"/>
      <c r="B129" s="255"/>
      <c r="C129" s="37" t="s">
        <v>11</v>
      </c>
      <c r="D129" s="59">
        <v>9315</v>
      </c>
      <c r="E129" s="59">
        <v>11130</v>
      </c>
      <c r="F129" s="72">
        <f>56.63847</f>
        <v>56.638469999999998</v>
      </c>
      <c r="G129" s="72">
        <f>2485.7834</f>
        <v>2485.7833999999998</v>
      </c>
      <c r="H129" s="72">
        <f t="shared" si="15"/>
        <v>8644.2165999999997</v>
      </c>
      <c r="I129" s="72">
        <f>2621.23421</f>
        <v>2621.2342100000001</v>
      </c>
      <c r="J129" s="117"/>
    </row>
    <row r="130" spans="1:10" ht="15.75" customHeight="1" x14ac:dyDescent="0.35">
      <c r="A130" s="1"/>
      <c r="B130" s="255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14.94465</f>
        <v>14.944649999999999</v>
      </c>
      <c r="H130" s="136">
        <f t="shared" si="15"/>
        <v>131.05535</v>
      </c>
      <c r="I130" s="136">
        <f>15.5499</f>
        <v>15.549899999999999</v>
      </c>
      <c r="J130" s="117"/>
    </row>
    <row r="131" spans="1:10" ht="15.75" customHeight="1" x14ac:dyDescent="0.3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35">
      <c r="A132" s="1"/>
      <c r="B132" s="255"/>
      <c r="C132" s="137" t="s">
        <v>69</v>
      </c>
      <c r="D132" s="140">
        <v>2000</v>
      </c>
      <c r="E132" s="140">
        <v>2000</v>
      </c>
      <c r="F132" s="136">
        <f>2.56212</f>
        <v>2.5621200000000002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3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55"/>
      <c r="C134" s="139" t="s">
        <v>70</v>
      </c>
      <c r="D134" s="140">
        <v>313</v>
      </c>
      <c r="E134" s="140">
        <v>313</v>
      </c>
      <c r="F134" s="95">
        <f>1.05391</f>
        <v>1.0539099999999999</v>
      </c>
      <c r="G134" s="95">
        <f>77.9859</f>
        <v>77.985900000000001</v>
      </c>
      <c r="H134" s="136">
        <f t="shared" si="15"/>
        <v>235.01409999999998</v>
      </c>
      <c r="I134" s="95">
        <f>29.20468</f>
        <v>29.20468</v>
      </c>
      <c r="J134" s="117"/>
    </row>
    <row r="135" spans="1:10" ht="15" customHeight="1" x14ac:dyDescent="0.35">
      <c r="A135" s="1"/>
      <c r="B135" s="255"/>
      <c r="C135" s="139" t="s">
        <v>39</v>
      </c>
      <c r="D135" s="142"/>
      <c r="E135" s="140"/>
      <c r="F135" s="136">
        <f>0</f>
        <v>0</v>
      </c>
      <c r="G135" s="136">
        <f>74.65446</f>
        <v>74.65446</v>
      </c>
      <c r="H135" s="136">
        <f t="shared" si="15"/>
        <v>-74.65446</v>
      </c>
      <c r="I135" s="136">
        <f>109.13869</f>
        <v>109.13869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1011.2455900000001</v>
      </c>
      <c r="G137" s="73">
        <f>G115+G119+G120+G130+G131+G132+G133+G134+G135</f>
        <v>59012.607219999998</v>
      </c>
      <c r="H137" s="73">
        <f>H115+H119+H120+H130+H131+H132+H133+H134+H135</f>
        <v>141286.39277999999</v>
      </c>
      <c r="I137" s="73">
        <f>I115+I119+I120+I130+I131+I132+I133+I134+I135</f>
        <v>75944.562390000006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35">
      <c r="A140" s="152"/>
      <c r="B140" s="50"/>
      <c r="C140" s="156" t="s">
        <v>153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35">
      <c r="A141" s="152"/>
      <c r="B141" s="50"/>
      <c r="C141" s="74" t="s">
        <v>146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5" customHeight="1" x14ac:dyDescent="0.3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5" customHeight="1" x14ac:dyDescent="0.3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5" customHeight="1" x14ac:dyDescent="0.3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5" customHeight="1" x14ac:dyDescent="0.3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5" customHeight="1" x14ac:dyDescent="0.3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3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3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148</v>
      </c>
      <c r="F159" s="14" t="s">
        <v>149</v>
      </c>
      <c r="G159" s="52" t="s">
        <v>150</v>
      </c>
      <c r="H159" s="14" t="s">
        <v>151</v>
      </c>
      <c r="I159" s="152"/>
      <c r="J159" s="279"/>
    </row>
    <row r="160" spans="1:10" ht="14.15" customHeight="1" x14ac:dyDescent="0.35">
      <c r="A160" s="1"/>
      <c r="B160" s="255"/>
      <c r="C160" s="138" t="s">
        <v>74</v>
      </c>
      <c r="D160" s="91">
        <v>3762</v>
      </c>
      <c r="E160" s="275">
        <f>10.54882</f>
        <v>10.548819999999999</v>
      </c>
      <c r="F160" s="275">
        <f>341.83067</f>
        <v>341.83067</v>
      </c>
      <c r="G160" s="42">
        <f>D160-F160-F161</f>
        <v>3122.6375900000003</v>
      </c>
      <c r="H160" s="275">
        <f>343.01393</f>
        <v>343.01393000000002</v>
      </c>
      <c r="I160" s="1"/>
      <c r="J160" s="117"/>
    </row>
    <row r="161" spans="1:10" ht="14.15" customHeight="1" x14ac:dyDescent="0.35">
      <c r="A161" s="1"/>
      <c r="B161" s="255"/>
      <c r="C161" s="133" t="s">
        <v>53</v>
      </c>
      <c r="D161" s="175"/>
      <c r="E161" s="148">
        <f>0</f>
        <v>0</v>
      </c>
      <c r="F161" s="148">
        <f>297.53174</f>
        <v>297.53174000000001</v>
      </c>
      <c r="G161" s="213"/>
      <c r="H161" s="148">
        <f>356.36513</f>
        <v>356.36513000000002</v>
      </c>
      <c r="I161" s="1"/>
      <c r="J161" s="117"/>
    </row>
    <row r="162" spans="1:10" ht="15.65" customHeight="1" x14ac:dyDescent="0.35">
      <c r="A162" s="1"/>
      <c r="B162" s="255"/>
      <c r="C162" s="163" t="s">
        <v>75</v>
      </c>
      <c r="D162" s="95">
        <v>200</v>
      </c>
      <c r="E162" s="166">
        <f>0</f>
        <v>0</v>
      </c>
      <c r="F162" s="166">
        <f>45.2826</f>
        <v>45.282600000000002</v>
      </c>
      <c r="G162" s="166">
        <f>D162-F162</f>
        <v>154.7174</v>
      </c>
      <c r="H162" s="166">
        <f>25.0249</f>
        <v>25.024899999999999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6.9898199999999999</v>
      </c>
      <c r="F163" s="175">
        <f>F164+F165+F166</f>
        <v>102.5213</v>
      </c>
      <c r="G163" s="175">
        <f>D163-F163</f>
        <v>5539.4786999999997</v>
      </c>
      <c r="H163" s="175">
        <f>H164+H165+H166</f>
        <v>56.03501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1.701</f>
        <v>1.7010000000000001</v>
      </c>
      <c r="F164" s="123">
        <f>33.27662</f>
        <v>33.276620000000001</v>
      </c>
      <c r="G164" s="123"/>
      <c r="H164" s="123">
        <f>33.86141</f>
        <v>33.861409999999999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0.27664</f>
        <v>0.27664</v>
      </c>
      <c r="F165" s="123">
        <f>36.23498</f>
        <v>36.23498</v>
      </c>
      <c r="G165" s="123"/>
      <c r="H165" s="123">
        <f>12.87522</f>
        <v>12.875220000000001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5.01218</f>
        <v>5.0121799999999999</v>
      </c>
      <c r="F166" s="186">
        <f>33.0097</f>
        <v>33.009700000000002</v>
      </c>
      <c r="G166" s="186"/>
      <c r="H166" s="186">
        <f>9.29838</f>
        <v>9.2983799999999999</v>
      </c>
      <c r="I166" s="181"/>
      <c r="J166" s="182"/>
    </row>
    <row r="167" spans="1:10" ht="14.15" customHeight="1" x14ac:dyDescent="0.3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3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17.538640000000001</v>
      </c>
      <c r="F169" s="188">
        <f>F160+F161+F162+F163+F167+F168</f>
        <v>787.16630999999995</v>
      </c>
      <c r="G169" s="188">
        <f>D169-F169</f>
        <v>8887.8336899999995</v>
      </c>
      <c r="H169" s="188">
        <f>H160+H161+H162+H163+H167+H168</f>
        <v>780.43896999999993</v>
      </c>
      <c r="I169" s="159"/>
      <c r="J169" s="155"/>
    </row>
    <row r="170" spans="1:10" ht="42" customHeight="1" x14ac:dyDescent="0.35">
      <c r="A170" s="1"/>
      <c r="B170" s="193"/>
      <c r="C170" s="228" t="s">
        <v>132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3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55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55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55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3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55"/>
      <c r="C188" s="68" t="s">
        <v>16</v>
      </c>
      <c r="D188" s="210" t="s">
        <v>2</v>
      </c>
      <c r="E188" s="14" t="s">
        <v>140</v>
      </c>
      <c r="F188" s="68" t="s">
        <v>148</v>
      </c>
      <c r="G188" s="68" t="s">
        <v>149</v>
      </c>
      <c r="H188" s="68" t="s">
        <v>150</v>
      </c>
      <c r="I188" s="68" t="s">
        <v>151</v>
      </c>
      <c r="J188" s="117"/>
    </row>
    <row r="189" spans="1:10" ht="15" customHeight="1" x14ac:dyDescent="0.35">
      <c r="A189" s="1"/>
      <c r="B189" s="255"/>
      <c r="C189" s="90" t="s">
        <v>4</v>
      </c>
      <c r="D189" s="124">
        <v>44142</v>
      </c>
      <c r="E189" s="124">
        <v>43335</v>
      </c>
      <c r="F189" s="124">
        <f>9.16951</f>
        <v>9.1695100000000007</v>
      </c>
      <c r="G189" s="124">
        <f>17349.90786</f>
        <v>17349.907859999999</v>
      </c>
      <c r="H189" s="124">
        <f>D189-G189</f>
        <v>26792.092140000001</v>
      </c>
      <c r="I189" s="124">
        <f>13107.27867</f>
        <v>13107.27867</v>
      </c>
      <c r="J189" s="117"/>
    </row>
    <row r="190" spans="1:10" ht="15" customHeight="1" x14ac:dyDescent="0.35">
      <c r="A190" s="1"/>
      <c r="B190" s="255"/>
      <c r="C190" s="90" t="s">
        <v>67</v>
      </c>
      <c r="D190" s="124">
        <v>100</v>
      </c>
      <c r="E190" s="124">
        <v>100</v>
      </c>
      <c r="F190" s="124">
        <f>0</f>
        <v>0</v>
      </c>
      <c r="G190" s="124">
        <f>5.93694</f>
        <v>5.9369399999999999</v>
      </c>
      <c r="H190" s="124">
        <f>D190-G190</f>
        <v>94.063060000000007</v>
      </c>
      <c r="I190" s="124">
        <f>6.67305</f>
        <v>6.6730499999999999</v>
      </c>
      <c r="J190" s="117"/>
    </row>
    <row r="191" spans="1:10" ht="15.75" customHeight="1" x14ac:dyDescent="0.3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9.1695100000000007</v>
      </c>
      <c r="G192" s="190">
        <f>SUM(G189:G191)</f>
        <v>17355.844799999999</v>
      </c>
      <c r="H192" s="190">
        <f>D192-G192</f>
        <v>26922.155200000001</v>
      </c>
      <c r="I192" s="190">
        <f>SUM(I189:I191)</f>
        <v>13113.951719999999</v>
      </c>
      <c r="J192" s="117"/>
    </row>
    <row r="193" spans="1:10" ht="12" customHeight="1" x14ac:dyDescent="0.3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2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3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55"/>
      <c r="C201" s="68" t="s">
        <v>16</v>
      </c>
      <c r="D201" s="79" t="s">
        <v>2</v>
      </c>
      <c r="E201" s="68" t="s">
        <v>148</v>
      </c>
      <c r="F201" s="68" t="s">
        <v>149</v>
      </c>
      <c r="G201" s="68" t="s">
        <v>150</v>
      </c>
      <c r="H201" s="68" t="s">
        <v>151</v>
      </c>
      <c r="I201" s="1"/>
      <c r="J201" s="117"/>
    </row>
    <row r="202" spans="1:10" ht="15" customHeight="1" x14ac:dyDescent="0.35">
      <c r="A202" s="1"/>
      <c r="B202" s="255"/>
      <c r="C202" s="90" t="s">
        <v>116</v>
      </c>
      <c r="D202" s="124">
        <v>3987</v>
      </c>
      <c r="E202" s="72">
        <f>E203+E204</f>
        <v>6.6386000000000003</v>
      </c>
      <c r="F202" s="72">
        <f>F203+F204</f>
        <v>1470.9672</v>
      </c>
      <c r="G202" s="72">
        <f>D202-F202</f>
        <v>2516.0328</v>
      </c>
      <c r="H202" s="72">
        <f>H203+H204</f>
        <v>2114.8509899999999</v>
      </c>
      <c r="I202" s="249"/>
      <c r="J202" s="117"/>
    </row>
    <row r="203" spans="1:10" ht="15" customHeight="1" x14ac:dyDescent="0.35">
      <c r="A203" s="1"/>
      <c r="B203" s="255"/>
      <c r="C203" s="172" t="s">
        <v>8</v>
      </c>
      <c r="D203" s="124"/>
      <c r="E203" s="72">
        <f>1.182</f>
        <v>1.1819999999999999</v>
      </c>
      <c r="F203" s="72">
        <f>1039.0137</f>
        <v>1039.0137</v>
      </c>
      <c r="G203" s="72"/>
      <c r="H203" s="72">
        <f>1688.76267</f>
        <v>1688.7626700000001</v>
      </c>
      <c r="I203" s="249"/>
      <c r="J203" s="117"/>
    </row>
    <row r="204" spans="1:10" ht="15" customHeight="1" x14ac:dyDescent="0.35">
      <c r="A204" s="1"/>
      <c r="B204" s="255"/>
      <c r="C204" s="172" t="s">
        <v>67</v>
      </c>
      <c r="D204" s="124"/>
      <c r="E204" s="124">
        <f>5.4566</f>
        <v>5.4565999999999999</v>
      </c>
      <c r="F204" s="124">
        <f>431.9535</f>
        <v>431.95350000000002</v>
      </c>
      <c r="G204" s="168"/>
      <c r="H204" s="124">
        <f>426.08832</f>
        <v>426.08832000000001</v>
      </c>
      <c r="I204" s="249"/>
      <c r="J204" s="117"/>
    </row>
    <row r="205" spans="1:10" ht="15" customHeight="1" x14ac:dyDescent="0.35">
      <c r="A205" s="1"/>
      <c r="B205" s="255"/>
      <c r="C205" s="90" t="s">
        <v>117</v>
      </c>
      <c r="D205" s="124">
        <v>4613</v>
      </c>
      <c r="E205" s="72">
        <f>126.3493</f>
        <v>126.3493</v>
      </c>
      <c r="F205" s="72">
        <f>1690.75081</f>
        <v>1690.75081</v>
      </c>
      <c r="G205" s="72">
        <f>D205-F205</f>
        <v>2922.24919</v>
      </c>
      <c r="H205" s="72">
        <f>2468.19751</f>
        <v>2468.19751</v>
      </c>
      <c r="I205" s="249"/>
      <c r="J205" s="117"/>
    </row>
    <row r="206" spans="1:10" ht="16.5" customHeight="1" x14ac:dyDescent="0.35">
      <c r="A206" s="1"/>
      <c r="B206" s="255"/>
      <c r="C206" s="179" t="s">
        <v>86</v>
      </c>
      <c r="D206" s="190">
        <f>D205+D202</f>
        <v>8600</v>
      </c>
      <c r="E206" s="190">
        <f>SUM(E202,E205)</f>
        <v>132.9879</v>
      </c>
      <c r="F206" s="190">
        <f>SUM(F202,F205)</f>
        <v>3161.71801</v>
      </c>
      <c r="G206" s="190">
        <f>D206-F206</f>
        <v>5438.2819899999995</v>
      </c>
      <c r="H206" s="190">
        <f>SUM(H202,H205)</f>
        <v>4583.0484999999999</v>
      </c>
      <c r="I206" s="249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3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55"/>
      <c r="C214" s="68" t="s">
        <v>16</v>
      </c>
      <c r="D214" s="79" t="s">
        <v>2</v>
      </c>
      <c r="E214" s="68" t="s">
        <v>148</v>
      </c>
      <c r="F214" s="68" t="s">
        <v>149</v>
      </c>
      <c r="G214" s="68" t="s">
        <v>150</v>
      </c>
      <c r="H214" s="68" t="s">
        <v>151</v>
      </c>
      <c r="I214" s="1"/>
      <c r="J214" s="117"/>
    </row>
    <row r="215" spans="1:10" ht="15" customHeight="1" x14ac:dyDescent="0.35">
      <c r="A215" s="1"/>
      <c r="B215" s="255"/>
      <c r="C215" s="90" t="s">
        <v>116</v>
      </c>
      <c r="D215" s="124">
        <v>5090</v>
      </c>
      <c r="E215" s="72">
        <f>E216+E217</f>
        <v>3.3454900000000003</v>
      </c>
      <c r="F215" s="72">
        <f>F216+F217</f>
        <v>1349.1327100000001</v>
      </c>
      <c r="G215" s="72">
        <f>D215-F215</f>
        <v>3740.8672900000001</v>
      </c>
      <c r="H215" s="72">
        <f>H216+H217</f>
        <v>1730.2159299999998</v>
      </c>
      <c r="I215" s="249"/>
      <c r="J215" s="117"/>
    </row>
    <row r="216" spans="1:10" ht="15" customHeight="1" x14ac:dyDescent="0.35">
      <c r="A216" s="1"/>
      <c r="B216" s="255"/>
      <c r="C216" s="172" t="s">
        <v>8</v>
      </c>
      <c r="D216" s="124"/>
      <c r="E216" s="72">
        <f>0.42559</f>
        <v>0.42559000000000002</v>
      </c>
      <c r="F216" s="72">
        <f>1110.0053</f>
        <v>1110.0053</v>
      </c>
      <c r="G216" s="72"/>
      <c r="H216" s="72">
        <f>1442.73445</f>
        <v>1442.7344499999999</v>
      </c>
      <c r="I216" s="249"/>
      <c r="J216" s="117"/>
    </row>
    <row r="217" spans="1:10" ht="15" customHeight="1" x14ac:dyDescent="0.35">
      <c r="A217" s="1"/>
      <c r="B217" s="255"/>
      <c r="C217" s="172" t="s">
        <v>67</v>
      </c>
      <c r="D217" s="124"/>
      <c r="E217" s="124">
        <f>2.9199</f>
        <v>2.9199000000000002</v>
      </c>
      <c r="F217" s="124">
        <f>239.12741</f>
        <v>239.12741</v>
      </c>
      <c r="G217" s="168"/>
      <c r="H217" s="124">
        <f>287.48148</f>
        <v>287.48147999999998</v>
      </c>
      <c r="I217" s="249"/>
      <c r="J217" s="117"/>
    </row>
    <row r="218" spans="1:10" ht="15" customHeight="1" x14ac:dyDescent="0.35">
      <c r="A218" s="1"/>
      <c r="B218" s="255"/>
      <c r="C218" s="90" t="s">
        <v>117</v>
      </c>
      <c r="D218" s="124">
        <v>2981</v>
      </c>
      <c r="E218" s="72">
        <f>38.96786</f>
        <v>38.967860000000002</v>
      </c>
      <c r="F218" s="72">
        <f>1030.79945</f>
        <v>1030.79945</v>
      </c>
      <c r="G218" s="72">
        <f>D218-F218</f>
        <v>1950.20055</v>
      </c>
      <c r="H218" s="72">
        <f>1327.75814</f>
        <v>1327.7581399999999</v>
      </c>
      <c r="I218" s="249"/>
      <c r="J218" s="117"/>
    </row>
    <row r="219" spans="1:10" ht="16.5" customHeight="1" x14ac:dyDescent="0.35">
      <c r="A219" s="1"/>
      <c r="B219" s="255"/>
      <c r="C219" s="179" t="s">
        <v>86</v>
      </c>
      <c r="D219" s="190">
        <f>D218+D215</f>
        <v>8071</v>
      </c>
      <c r="E219" s="190">
        <f>SUM(E215,E218)</f>
        <v>42.31335</v>
      </c>
      <c r="F219" s="190">
        <f>SUM(F215,F218)</f>
        <v>2379.9321600000003</v>
      </c>
      <c r="G219" s="190">
        <f>D219-F219</f>
        <v>5691.0678399999997</v>
      </c>
      <c r="H219" s="190">
        <f>SUM(H215,H218)</f>
        <v>3057.9740699999998</v>
      </c>
      <c r="I219" s="249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5" customHeight="1" x14ac:dyDescent="0.3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5" customHeight="1" x14ac:dyDescent="0.3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5" customHeight="1" x14ac:dyDescent="0.3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3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3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5" customHeight="1" x14ac:dyDescent="0.3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35">
      <c r="A236" s="1"/>
      <c r="B236" s="255"/>
      <c r="C236" s="68" t="s">
        <v>16</v>
      </c>
      <c r="D236" s="244" t="s">
        <v>2</v>
      </c>
      <c r="E236" s="68" t="s">
        <v>148</v>
      </c>
      <c r="F236" s="68" t="s">
        <v>149</v>
      </c>
      <c r="G236" s="68" t="s">
        <v>150</v>
      </c>
      <c r="H236" s="68" t="s">
        <v>151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2.54479</f>
        <v>2.5447899999999999</v>
      </c>
      <c r="F237" s="124">
        <f>130.3887</f>
        <v>130.3887</v>
      </c>
      <c r="G237" s="124">
        <f>D237-F237</f>
        <v>669.61130000000003</v>
      </c>
      <c r="H237" s="124">
        <f>211.52688</f>
        <v>211.52688000000001</v>
      </c>
      <c r="I237" s="65"/>
      <c r="J237" s="245"/>
    </row>
    <row r="238" spans="1:10" ht="14.15" customHeight="1" x14ac:dyDescent="0.35">
      <c r="A238" s="1"/>
      <c r="B238" s="255"/>
      <c r="C238" s="90" t="s">
        <v>93</v>
      </c>
      <c r="D238" s="247">
        <v>2193</v>
      </c>
      <c r="E238" s="124">
        <f>6.538</f>
        <v>6.5380000000000003</v>
      </c>
      <c r="F238" s="124">
        <f>235.51931</f>
        <v>235.51930999999999</v>
      </c>
      <c r="G238" s="124">
        <f>D238-F238</f>
        <v>1957.4806900000001</v>
      </c>
      <c r="H238" s="124">
        <f>405.66802</f>
        <v>405.66802000000001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35">
      <c r="A240" s="65"/>
      <c r="B240" s="251"/>
      <c r="C240" s="146" t="s">
        <v>94</v>
      </c>
      <c r="D240" s="223"/>
      <c r="E240" s="168">
        <f>0</f>
        <v>0</v>
      </c>
      <c r="F240" s="168">
        <f>0.018</f>
        <v>1.7999999999999999E-2</v>
      </c>
      <c r="G240" s="124">
        <f>D240-F240</f>
        <v>-1.7999999999999999E-2</v>
      </c>
      <c r="H240" s="168">
        <f>0.047</f>
        <v>4.7E-2</v>
      </c>
      <c r="I240" s="283"/>
      <c r="J240" s="117"/>
    </row>
    <row r="241" spans="1:10" ht="14.15" customHeight="1" x14ac:dyDescent="0.35">
      <c r="A241" s="1"/>
      <c r="B241" s="255"/>
      <c r="C241" s="179" t="s">
        <v>86</v>
      </c>
      <c r="D241" s="5">
        <f>D226</f>
        <v>3003</v>
      </c>
      <c r="E241" s="190">
        <f>SUM(E237:E240)</f>
        <v>9.0827899999999993</v>
      </c>
      <c r="F241" s="190">
        <f>SUM(F237:F240)</f>
        <v>365.98014999999998</v>
      </c>
      <c r="G241" s="190">
        <f>D241-F241</f>
        <v>2637.0198500000001</v>
      </c>
      <c r="H241" s="190">
        <f>H237+H238+H239+H240</f>
        <v>617.85195999999996</v>
      </c>
      <c r="I241" s="1"/>
      <c r="J241" s="117"/>
    </row>
    <row r="242" spans="1:10" ht="14.15" customHeight="1" x14ac:dyDescent="0.3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3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35">
      <c r="B261" s="69"/>
      <c r="C261" s="224" t="s">
        <v>16</v>
      </c>
      <c r="D261" s="233" t="s">
        <v>17</v>
      </c>
      <c r="E261" s="68" t="s">
        <v>136</v>
      </c>
      <c r="F261" s="224" t="s">
        <v>148</v>
      </c>
      <c r="G261" s="224" t="s">
        <v>149</v>
      </c>
      <c r="H261" s="224" t="s">
        <v>150</v>
      </c>
      <c r="I261" s="224" t="s">
        <v>151</v>
      </c>
      <c r="J261" s="127"/>
    </row>
    <row r="262" spans="1:10" ht="14.15" customHeight="1" x14ac:dyDescent="0.3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19.785599999999999</v>
      </c>
      <c r="G262" s="254">
        <f t="shared" si="17"/>
        <v>1826.2399</v>
      </c>
      <c r="H262" s="254">
        <f>H266+H265+H264+H263</f>
        <v>25909.7601</v>
      </c>
      <c r="I262" s="254">
        <f t="shared" si="17"/>
        <v>4777.4999399999997</v>
      </c>
      <c r="J262" s="127"/>
    </row>
    <row r="263" spans="1:10" ht="14.15" customHeight="1" x14ac:dyDescent="0.35">
      <c r="A263" s="215"/>
      <c r="B263" s="69"/>
      <c r="C263" s="256" t="s">
        <v>102</v>
      </c>
      <c r="D263" s="257">
        <v>14132</v>
      </c>
      <c r="E263" s="257">
        <v>16670</v>
      </c>
      <c r="F263" s="258">
        <f>0</f>
        <v>0</v>
      </c>
      <c r="G263" s="258">
        <f>654.51909</f>
        <v>654.51909000000001</v>
      </c>
      <c r="H263" s="258">
        <f t="shared" ref="H263:H267" si="18">E263-G263</f>
        <v>16015.48091</v>
      </c>
      <c r="I263" s="258">
        <f>3462.80711</f>
        <v>3462.8071100000002</v>
      </c>
      <c r="J263" s="127"/>
    </row>
    <row r="264" spans="1:10" ht="14.15" customHeight="1" x14ac:dyDescent="0.35">
      <c r="A264" s="215"/>
      <c r="B264" s="69"/>
      <c r="C264" s="260" t="s">
        <v>21</v>
      </c>
      <c r="D264" s="257">
        <v>3678</v>
      </c>
      <c r="E264" s="257">
        <v>4339</v>
      </c>
      <c r="F264" s="258">
        <f>0</f>
        <v>0</v>
      </c>
      <c r="G264" s="258">
        <f>124.4025</f>
        <v>124.4025</v>
      </c>
      <c r="H264" s="258">
        <f t="shared" si="18"/>
        <v>4214.5974999999999</v>
      </c>
      <c r="I264" s="258">
        <f>411.9444</f>
        <v>411.94439999999997</v>
      </c>
      <c r="J264" s="127"/>
    </row>
    <row r="265" spans="1:10" ht="14.15" customHeight="1" x14ac:dyDescent="0.35">
      <c r="A265" s="215"/>
      <c r="B265" s="69"/>
      <c r="C265" s="260" t="s">
        <v>99</v>
      </c>
      <c r="D265" s="257">
        <v>1506</v>
      </c>
      <c r="E265" s="257">
        <v>1571</v>
      </c>
      <c r="F265" s="258">
        <f>19.7856</f>
        <v>19.785599999999999</v>
      </c>
      <c r="G265" s="258">
        <f>561.70232</f>
        <v>561.70231999999999</v>
      </c>
      <c r="H265" s="258">
        <f t="shared" si="18"/>
        <v>1009.29768</v>
      </c>
      <c r="I265" s="258">
        <f>824.51497</f>
        <v>824.51496999999995</v>
      </c>
      <c r="J265" s="127"/>
    </row>
    <row r="266" spans="1:10" ht="14.15" customHeight="1" x14ac:dyDescent="0.35">
      <c r="A266" s="215"/>
      <c r="B266" s="69"/>
      <c r="C266" s="262" t="s">
        <v>122</v>
      </c>
      <c r="D266" s="263">
        <v>5043</v>
      </c>
      <c r="E266" s="263">
        <v>5156</v>
      </c>
      <c r="F266" s="258">
        <f>0</f>
        <v>0</v>
      </c>
      <c r="G266" s="258">
        <f>485.61599</f>
        <v>485.61599000000001</v>
      </c>
      <c r="H266" s="258">
        <f t="shared" si="18"/>
        <v>4670.3840099999998</v>
      </c>
      <c r="I266" s="258">
        <f>78.23346</f>
        <v>78.233459999999994</v>
      </c>
      <c r="J266" s="127"/>
    </row>
    <row r="267" spans="1:10" ht="14.15" customHeight="1" x14ac:dyDescent="0.35">
      <c r="A267" s="215"/>
      <c r="B267" s="69"/>
      <c r="C267" s="265" t="s">
        <v>59</v>
      </c>
      <c r="D267" s="266">
        <v>5500</v>
      </c>
      <c r="E267" s="266">
        <v>5500</v>
      </c>
      <c r="F267" s="268">
        <f>120.56</f>
        <v>120.56</v>
      </c>
      <c r="G267" s="268">
        <f>426.66906</f>
        <v>426.66906</v>
      </c>
      <c r="H267" s="268">
        <f t="shared" si="18"/>
        <v>5073.3309399999998</v>
      </c>
      <c r="I267" s="268">
        <f>327.3453</f>
        <v>327.34530000000001</v>
      </c>
      <c r="J267" s="127"/>
    </row>
    <row r="268" spans="1:10" ht="14.15" customHeight="1" x14ac:dyDescent="0.3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9.3868899999999993</v>
      </c>
      <c r="G268" s="269">
        <f>G270+G269</f>
        <v>1066.0968500000001</v>
      </c>
      <c r="H268" s="269">
        <f>E268-G268</f>
        <v>6933.9031500000001</v>
      </c>
      <c r="I268" s="269">
        <f>I270+I269</f>
        <v>1270.4035699999999</v>
      </c>
      <c r="J268" s="127"/>
    </row>
    <row r="269" spans="1:10" ht="14.15" customHeight="1" x14ac:dyDescent="0.35">
      <c r="A269" s="215"/>
      <c r="B269" s="69"/>
      <c r="C269" s="260" t="s">
        <v>53</v>
      </c>
      <c r="D269" s="271"/>
      <c r="E269" s="257"/>
      <c r="F269" s="258">
        <f>0</f>
        <v>0</v>
      </c>
      <c r="G269" s="258">
        <f>447.26843</f>
        <v>447.26843000000002</v>
      </c>
      <c r="H269" s="258"/>
      <c r="I269" s="258">
        <f>517.84866</f>
        <v>517.84866</v>
      </c>
      <c r="J269" s="127"/>
    </row>
    <row r="270" spans="1:10" ht="14.15" customHeight="1" x14ac:dyDescent="0.35">
      <c r="A270" s="215"/>
      <c r="B270" s="69"/>
      <c r="C270" s="273" t="s">
        <v>103</v>
      </c>
      <c r="D270" s="274"/>
      <c r="E270" s="276"/>
      <c r="F270" s="277">
        <f>9.38689</f>
        <v>9.3868899999999993</v>
      </c>
      <c r="G270" s="277">
        <f>618.82842</f>
        <v>618.82842000000005</v>
      </c>
      <c r="H270" s="277"/>
      <c r="I270" s="277">
        <f>752.55491</f>
        <v>752.55490999999995</v>
      </c>
      <c r="J270" s="127"/>
    </row>
    <row r="271" spans="1:10" ht="14.15" customHeight="1" x14ac:dyDescent="0.3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5" customHeight="1" x14ac:dyDescent="0.35">
      <c r="A272" s="215"/>
      <c r="B272" s="69"/>
      <c r="C272" s="278" t="s">
        <v>104</v>
      </c>
      <c r="D272" s="281"/>
      <c r="E272" s="282"/>
      <c r="F272" s="268">
        <f>0.012</f>
        <v>1.2E-2</v>
      </c>
      <c r="G272" s="268">
        <f>3.94604</f>
        <v>3.94604</v>
      </c>
      <c r="H272" s="268">
        <f>E272-G272</f>
        <v>-3.94604</v>
      </c>
      <c r="I272" s="268">
        <f>4.2056</f>
        <v>4.2055999999999996</v>
      </c>
      <c r="J272" s="127"/>
    </row>
    <row r="273" spans="1:10" ht="19.5" customHeight="1" x14ac:dyDescent="0.3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149.74448999999998</v>
      </c>
      <c r="G273" s="286">
        <f t="shared" si="19"/>
        <v>3322.9653500000004</v>
      </c>
      <c r="H273" s="286">
        <f>H262+H267+H268+H271+H272</f>
        <v>37926.034649999994</v>
      </c>
      <c r="I273" s="286">
        <f t="shared" si="19"/>
        <v>6379.4808099999991</v>
      </c>
      <c r="J273" s="127"/>
    </row>
    <row r="274" spans="1:10" ht="14.15" customHeight="1" x14ac:dyDescent="0.3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5" customHeight="1" x14ac:dyDescent="0.3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5" customHeight="1" x14ac:dyDescent="0.35">
      <c r="A276" s="215"/>
      <c r="B276" s="69"/>
      <c r="C276" s="156" t="s">
        <v>138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3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15"/>
      <c r="C279" s="145" t="s">
        <v>112</v>
      </c>
      <c r="D279" s="152"/>
    </row>
    <row r="280" spans="1:10" ht="14.15" customHeight="1" x14ac:dyDescent="0.3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5" customHeight="1" x14ac:dyDescent="0.3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15"/>
      <c r="B288" s="69"/>
      <c r="C288" s="300" t="s">
        <v>120</v>
      </c>
      <c r="D288" s="300"/>
      <c r="E288" s="300"/>
      <c r="F288" s="300"/>
      <c r="G288" s="208"/>
      <c r="H288" s="208"/>
      <c r="I288" s="145"/>
      <c r="J288" s="127"/>
    </row>
    <row r="289" spans="1:10" ht="14.15" customHeight="1" x14ac:dyDescent="0.3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35">
      <c r="A293" s="215"/>
      <c r="B293" s="193"/>
      <c r="C293" s="19" t="s">
        <v>107</v>
      </c>
      <c r="D293" s="21" t="s">
        <v>108</v>
      </c>
      <c r="E293" s="19" t="s">
        <v>148</v>
      </c>
      <c r="F293" s="19" t="s">
        <v>149</v>
      </c>
      <c r="G293" s="23" t="s">
        <v>150</v>
      </c>
      <c r="H293" s="19" t="s">
        <v>151</v>
      </c>
      <c r="I293" s="225"/>
      <c r="J293" s="13"/>
    </row>
    <row r="294" spans="1:10" ht="14.15" customHeight="1" x14ac:dyDescent="0.3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985.86725000000001</v>
      </c>
      <c r="G297" s="82">
        <f>D297-F297</f>
        <v>-91.867250000000013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15"/>
      <c r="B298" s="69"/>
      <c r="C298" s="28" t="s">
        <v>8</v>
      </c>
      <c r="D298" s="41"/>
      <c r="E298" s="29">
        <f>0</f>
        <v>0</v>
      </c>
      <c r="F298" s="29">
        <f>763.92923</f>
        <v>763.92922999999996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15"/>
      <c r="B299" s="69"/>
      <c r="C299" s="28" t="s">
        <v>11</v>
      </c>
      <c r="D299" s="222"/>
      <c r="E299" s="29">
        <f>0</f>
        <v>0</v>
      </c>
      <c r="F299" s="29">
        <f>221.93802</f>
        <v>221.93801999999999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15"/>
      <c r="B300" s="69"/>
      <c r="C300" s="265" t="s">
        <v>111</v>
      </c>
      <c r="D300" s="9">
        <v>893</v>
      </c>
      <c r="E300" s="34">
        <f>SUM(E301:E302)</f>
        <v>16.251899999999999</v>
      </c>
      <c r="F300" s="34">
        <f>SUM(F301:F302)</f>
        <v>388.98296999999997</v>
      </c>
      <c r="G300" s="82">
        <f>D300-F300</f>
        <v>504.01703000000003</v>
      </c>
      <c r="H300" s="34">
        <f>SUM(H301:H302)</f>
        <v>523.09302000000002</v>
      </c>
      <c r="I300" s="145"/>
      <c r="J300" s="127"/>
    </row>
    <row r="301" spans="1:10" ht="14.15" customHeight="1" x14ac:dyDescent="0.35">
      <c r="A301" s="215"/>
      <c r="B301" s="69"/>
      <c r="C301" s="28" t="s">
        <v>8</v>
      </c>
      <c r="D301" s="41"/>
      <c r="E301" s="29">
        <f>10.996</f>
        <v>10.996</v>
      </c>
      <c r="F301" s="29">
        <f>261.75208</f>
        <v>261.75207999999998</v>
      </c>
      <c r="G301" s="94"/>
      <c r="H301" s="29">
        <f>356.55584</f>
        <v>356.55583999999999</v>
      </c>
      <c r="I301" s="145"/>
      <c r="J301" s="127"/>
    </row>
    <row r="302" spans="1:10" ht="14.15" customHeight="1" x14ac:dyDescent="0.35">
      <c r="A302" s="215"/>
      <c r="B302" s="69"/>
      <c r="C302" s="28" t="s">
        <v>11</v>
      </c>
      <c r="D302" s="222"/>
      <c r="E302" s="29">
        <f>5.2559</f>
        <v>5.2558999999999996</v>
      </c>
      <c r="F302" s="29">
        <f>127.23089</f>
        <v>127.23089</v>
      </c>
      <c r="G302" s="105"/>
      <c r="H302" s="29">
        <f>166.53718</f>
        <v>166.53718000000001</v>
      </c>
      <c r="I302" s="145"/>
      <c r="J302" s="127"/>
    </row>
    <row r="303" spans="1:10" ht="14.15" customHeight="1" x14ac:dyDescent="0.3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16.251899999999999</v>
      </c>
      <c r="F304" s="39">
        <f>F294+F297+F300+F303</f>
        <v>2398.0560999999998</v>
      </c>
      <c r="G304" s="40">
        <f>D304-F304</f>
        <v>282.94390000000021</v>
      </c>
      <c r="H304" s="39">
        <f>H294+H297+H300+H303</f>
        <v>2733.5372299999999</v>
      </c>
      <c r="I304" s="26"/>
      <c r="J304" s="127"/>
    </row>
    <row r="305" spans="1:10" ht="42" customHeight="1" x14ac:dyDescent="0.35">
      <c r="A305" s="215"/>
      <c r="B305" s="69"/>
      <c r="C305" s="291" t="s">
        <v>115</v>
      </c>
      <c r="D305" s="291"/>
      <c r="E305" s="291"/>
      <c r="F305" s="291"/>
      <c r="G305" s="291"/>
      <c r="H305" s="291"/>
      <c r="I305" s="291"/>
      <c r="J305" s="292"/>
    </row>
    <row r="306" spans="1:10" ht="14.15" customHeight="1" x14ac:dyDescent="0.3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" customHeight="1" x14ac:dyDescent="0.35"/>
    <row r="65491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16&amp;R21.04.2025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2025-04-22T07:40:42Z</dcterms:modified>
</cp:coreProperties>
</file>