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evgul\Settings\Desktop\"/>
    </mc:Choice>
  </mc:AlternateContent>
  <xr:revisionPtr revIDLastSave="0" documentId="8_{6AB8EC66-555B-4559-A22B-5F3051F1D5E7}" xr6:coauthVersionLast="47" xr6:coauthVersionMax="47" xr10:uidLastSave="{00000000-0000-0000-0000-000000000000}"/>
  <bookViews>
    <workbookView xWindow="2805" yWindow="1275" windowWidth="33195" windowHeight="18495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422" i="1"/>
  <c r="G422" i="1"/>
  <c r="F422" i="1"/>
  <c r="E422" i="1"/>
  <c r="H421" i="1"/>
  <c r="F421" i="1"/>
  <c r="E421" i="1"/>
  <c r="H420" i="1"/>
  <c r="F420" i="1"/>
  <c r="E420" i="1"/>
  <c r="H419" i="1"/>
  <c r="F419" i="1"/>
  <c r="G419" i="1" s="1"/>
  <c r="E419" i="1"/>
  <c r="H418" i="1"/>
  <c r="F418" i="1"/>
  <c r="E418" i="1"/>
  <c r="H417" i="1"/>
  <c r="F417" i="1"/>
  <c r="E417" i="1"/>
  <c r="H416" i="1"/>
  <c r="F416" i="1"/>
  <c r="G416" i="1" s="1"/>
  <c r="E416" i="1"/>
  <c r="H415" i="1"/>
  <c r="F415" i="1"/>
  <c r="E415" i="1"/>
  <c r="H414" i="1"/>
  <c r="F414" i="1"/>
  <c r="F413" i="1" s="1"/>
  <c r="E414" i="1"/>
  <c r="E413" i="1" s="1"/>
  <c r="E423" i="1" s="1"/>
  <c r="H413" i="1"/>
  <c r="H423" i="1" s="1"/>
  <c r="I390" i="1"/>
  <c r="H390" i="1"/>
  <c r="G390" i="1"/>
  <c r="F390" i="1"/>
  <c r="I389" i="1"/>
  <c r="G389" i="1"/>
  <c r="H389" i="1" s="1"/>
  <c r="F389" i="1"/>
  <c r="I388" i="1"/>
  <c r="I386" i="1" s="1"/>
  <c r="G388" i="1"/>
  <c r="G386" i="1" s="1"/>
  <c r="H386" i="1" s="1"/>
  <c r="F388" i="1"/>
  <c r="I387" i="1"/>
  <c r="G387" i="1"/>
  <c r="F387" i="1"/>
  <c r="F386" i="1"/>
  <c r="I385" i="1"/>
  <c r="H385" i="1"/>
  <c r="G385" i="1"/>
  <c r="F385" i="1"/>
  <c r="I384" i="1"/>
  <c r="G384" i="1"/>
  <c r="H384" i="1" s="1"/>
  <c r="F384" i="1"/>
  <c r="F380" i="1" s="1"/>
  <c r="F391" i="1" s="1"/>
  <c r="I383" i="1"/>
  <c r="I380" i="1" s="1"/>
  <c r="H383" i="1"/>
  <c r="G383" i="1"/>
  <c r="F383" i="1"/>
  <c r="I382" i="1"/>
  <c r="G382" i="1"/>
  <c r="H382" i="1" s="1"/>
  <c r="F382" i="1"/>
  <c r="I381" i="1"/>
  <c r="H381" i="1"/>
  <c r="G381" i="1"/>
  <c r="F381" i="1"/>
  <c r="G380" i="1"/>
  <c r="D380" i="1"/>
  <c r="D391" i="1" s="1"/>
  <c r="H372" i="1"/>
  <c r="F372" i="1"/>
  <c r="D354" i="1"/>
  <c r="H353" i="1"/>
  <c r="G353" i="1"/>
  <c r="F353" i="1"/>
  <c r="E353" i="1"/>
  <c r="H352" i="1"/>
  <c r="F352" i="1"/>
  <c r="G352" i="1" s="1"/>
  <c r="E352" i="1"/>
  <c r="H351" i="1"/>
  <c r="G351" i="1"/>
  <c r="F351" i="1"/>
  <c r="E351" i="1"/>
  <c r="H350" i="1"/>
  <c r="H354" i="1" s="1"/>
  <c r="F350" i="1"/>
  <c r="F354" i="1" s="1"/>
  <c r="E350" i="1"/>
  <c r="E354" i="1" s="1"/>
  <c r="D343" i="1"/>
  <c r="D299" i="1"/>
  <c r="H298" i="1"/>
  <c r="G298" i="1"/>
  <c r="F298" i="1"/>
  <c r="E298" i="1"/>
  <c r="H297" i="1"/>
  <c r="F297" i="1"/>
  <c r="E297" i="1"/>
  <c r="H296" i="1"/>
  <c r="F296" i="1"/>
  <c r="F295" i="1" s="1"/>
  <c r="E296" i="1"/>
  <c r="E295" i="1" s="1"/>
  <c r="E299" i="1" s="1"/>
  <c r="H295" i="1"/>
  <c r="H299" i="1" s="1"/>
  <c r="D253" i="1"/>
  <c r="H252" i="1"/>
  <c r="F252" i="1"/>
  <c r="G252" i="1" s="1"/>
  <c r="E252" i="1"/>
  <c r="H251" i="1"/>
  <c r="F251" i="1"/>
  <c r="F249" i="1" s="1"/>
  <c r="E251" i="1"/>
  <c r="E249" i="1" s="1"/>
  <c r="E253" i="1" s="1"/>
  <c r="H250" i="1"/>
  <c r="H249" i="1" s="1"/>
  <c r="H253" i="1" s="1"/>
  <c r="F250" i="1"/>
  <c r="E250" i="1"/>
  <c r="H207" i="1"/>
  <c r="D207" i="1"/>
  <c r="H206" i="1"/>
  <c r="F206" i="1"/>
  <c r="G206" i="1" s="1"/>
  <c r="E206" i="1"/>
  <c r="H205" i="1"/>
  <c r="G205" i="1"/>
  <c r="F205" i="1"/>
  <c r="E205" i="1"/>
  <c r="H204" i="1"/>
  <c r="F204" i="1"/>
  <c r="G204" i="1" s="1"/>
  <c r="E204" i="1"/>
  <c r="E207" i="1" s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E178" i="1" s="1"/>
  <c r="H180" i="1"/>
  <c r="H178" i="1" s="1"/>
  <c r="H184" i="1" s="1"/>
  <c r="F180" i="1"/>
  <c r="E180" i="1"/>
  <c r="H179" i="1"/>
  <c r="F179" i="1"/>
  <c r="E179" i="1"/>
  <c r="G178" i="1"/>
  <c r="F178" i="1"/>
  <c r="H177" i="1"/>
  <c r="F177" i="1"/>
  <c r="G177" i="1" s="1"/>
  <c r="E177" i="1"/>
  <c r="H176" i="1"/>
  <c r="F176" i="1"/>
  <c r="E176" i="1"/>
  <c r="H175" i="1"/>
  <c r="F175" i="1"/>
  <c r="F184" i="1" s="1"/>
  <c r="G184" i="1" s="1"/>
  <c r="E175" i="1"/>
  <c r="E184" i="1" s="1"/>
  <c r="D167" i="1"/>
  <c r="D169" i="1" s="1"/>
  <c r="I148" i="1"/>
  <c r="G148" i="1"/>
  <c r="H148" i="1" s="1"/>
  <c r="F148" i="1"/>
  <c r="I147" i="1"/>
  <c r="H147" i="1"/>
  <c r="G147" i="1"/>
  <c r="F147" i="1"/>
  <c r="H146" i="1"/>
  <c r="I145" i="1"/>
  <c r="H145" i="1"/>
  <c r="G145" i="1"/>
  <c r="F145" i="1"/>
  <c r="I144" i="1"/>
  <c r="H144" i="1"/>
  <c r="G144" i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G140" i="1"/>
  <c r="H140" i="1" s="1"/>
  <c r="H139" i="1" s="1"/>
  <c r="F140" i="1"/>
  <c r="F139" i="1" s="1"/>
  <c r="I139" i="1"/>
  <c r="G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I134" i="1" s="1"/>
  <c r="I133" i="1" s="1"/>
  <c r="I150" i="1" s="1"/>
  <c r="H135" i="1"/>
  <c r="F135" i="1"/>
  <c r="G134" i="1"/>
  <c r="G133" i="1" s="1"/>
  <c r="F134" i="1"/>
  <c r="E134" i="1"/>
  <c r="E133" i="1" s="1"/>
  <c r="D134" i="1"/>
  <c r="D133" i="1"/>
  <c r="I132" i="1"/>
  <c r="H132" i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H128" i="1" s="1"/>
  <c r="F129" i="1"/>
  <c r="F128" i="1" s="1"/>
  <c r="I128" i="1"/>
  <c r="E128" i="1"/>
  <c r="E150" i="1" s="1"/>
  <c r="D128" i="1"/>
  <c r="D150" i="1" s="1"/>
  <c r="C126" i="1"/>
  <c r="I106" i="1"/>
  <c r="G106" i="1"/>
  <c r="H106" i="1" s="1"/>
  <c r="F106" i="1"/>
  <c r="I105" i="1"/>
  <c r="H105" i="1"/>
  <c r="G105" i="1"/>
  <c r="F105" i="1"/>
  <c r="I104" i="1"/>
  <c r="G104" i="1"/>
  <c r="H104" i="1" s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G97" i="1"/>
  <c r="H97" i="1" s="1"/>
  <c r="F97" i="1"/>
  <c r="F96" i="1" s="1"/>
  <c r="F95" i="1" s="1"/>
  <c r="I96" i="1"/>
  <c r="I95" i="1" s="1"/>
  <c r="I107" i="1" s="1"/>
  <c r="E96" i="1"/>
  <c r="D96" i="1"/>
  <c r="D95" i="1" s="1"/>
  <c r="E95" i="1"/>
  <c r="I94" i="1"/>
  <c r="H94" i="1"/>
  <c r="G94" i="1"/>
  <c r="F94" i="1"/>
  <c r="I93" i="1"/>
  <c r="G93" i="1"/>
  <c r="H93" i="1" s="1"/>
  <c r="H92" i="1" s="1"/>
  <c r="F93" i="1"/>
  <c r="I92" i="1"/>
  <c r="F92" i="1"/>
  <c r="E92" i="1"/>
  <c r="E107" i="1" s="1"/>
  <c r="D92" i="1"/>
  <c r="C89" i="1"/>
  <c r="H85" i="1"/>
  <c r="F85" i="1"/>
  <c r="D85" i="1"/>
  <c r="G61" i="1"/>
  <c r="G60" i="1"/>
  <c r="H55" i="1"/>
  <c r="F55" i="1"/>
  <c r="G32" i="1" s="1"/>
  <c r="H32" i="1" s="1"/>
  <c r="E55" i="1"/>
  <c r="I43" i="1"/>
  <c r="H43" i="1"/>
  <c r="G43" i="1"/>
  <c r="F43" i="1"/>
  <c r="H42" i="1"/>
  <c r="I41" i="1"/>
  <c r="G41" i="1"/>
  <c r="H41" i="1" s="1"/>
  <c r="F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G36" i="1"/>
  <c r="H36" i="1" s="1"/>
  <c r="F36" i="1"/>
  <c r="I35" i="1"/>
  <c r="G35" i="1"/>
  <c r="F35" i="1"/>
  <c r="F34" i="1" s="1"/>
  <c r="F26" i="1" s="1"/>
  <c r="E35" i="1"/>
  <c r="D34" i="1"/>
  <c r="I33" i="1"/>
  <c r="H33" i="1"/>
  <c r="G33" i="1"/>
  <c r="F33" i="1"/>
  <c r="I32" i="1"/>
  <c r="F32" i="1"/>
  <c r="I31" i="1"/>
  <c r="H31" i="1"/>
  <c r="G31" i="1"/>
  <c r="F31" i="1"/>
  <c r="I30" i="1"/>
  <c r="G30" i="1"/>
  <c r="H30" i="1" s="1"/>
  <c r="F30" i="1"/>
  <c r="I29" i="1"/>
  <c r="H29" i="1"/>
  <c r="G29" i="1"/>
  <c r="F29" i="1"/>
  <c r="I28" i="1"/>
  <c r="G28" i="1"/>
  <c r="F28" i="1"/>
  <c r="F27" i="1" s="1"/>
  <c r="I27" i="1"/>
  <c r="E27" i="1"/>
  <c r="D27" i="1"/>
  <c r="E26" i="1"/>
  <c r="D26" i="1"/>
  <c r="I25" i="1"/>
  <c r="G25" i="1"/>
  <c r="H25" i="1" s="1"/>
  <c r="H23" i="1" s="1"/>
  <c r="F25" i="1"/>
  <c r="I24" i="1"/>
  <c r="I23" i="1" s="1"/>
  <c r="H24" i="1"/>
  <c r="G24" i="1"/>
  <c r="F24" i="1"/>
  <c r="G23" i="1"/>
  <c r="F23" i="1"/>
  <c r="E23" i="1"/>
  <c r="E44" i="1" s="1"/>
  <c r="D23" i="1"/>
  <c r="D44" i="1" s="1"/>
  <c r="H16" i="1"/>
  <c r="F16" i="1"/>
  <c r="D16" i="1"/>
  <c r="I34" i="1" l="1"/>
  <c r="I26" i="1" s="1"/>
  <c r="I44" i="1" s="1"/>
  <c r="F44" i="1"/>
  <c r="H35" i="1"/>
  <c r="G34" i="1"/>
  <c r="H34" i="1" s="1"/>
  <c r="H26" i="1" s="1"/>
  <c r="H44" i="1" s="1"/>
  <c r="D107" i="1"/>
  <c r="H96" i="1"/>
  <c r="H95" i="1" s="1"/>
  <c r="H107" i="1" s="1"/>
  <c r="G391" i="1"/>
  <c r="G249" i="1"/>
  <c r="F253" i="1"/>
  <c r="G253" i="1" s="1"/>
  <c r="G295" i="1"/>
  <c r="F299" i="1"/>
  <c r="I391" i="1"/>
  <c r="F423" i="1"/>
  <c r="G413" i="1"/>
  <c r="F107" i="1"/>
  <c r="H134" i="1"/>
  <c r="H133" i="1" s="1"/>
  <c r="H150" i="1" s="1"/>
  <c r="G299" i="1"/>
  <c r="G354" i="1"/>
  <c r="G27" i="1"/>
  <c r="F133" i="1"/>
  <c r="F150" i="1" s="1"/>
  <c r="H380" i="1"/>
  <c r="H391" i="1" s="1"/>
  <c r="H28" i="1"/>
  <c r="H27" i="1" s="1"/>
  <c r="G92" i="1"/>
  <c r="G128" i="1"/>
  <c r="G150" i="1" s="1"/>
  <c r="G175" i="1"/>
  <c r="F207" i="1"/>
  <c r="G207" i="1" s="1"/>
  <c r="G96" i="1"/>
  <c r="G95" i="1" s="1"/>
  <c r="G55" i="1"/>
  <c r="G350" i="1"/>
  <c r="G26" i="1" l="1"/>
  <c r="G44" i="1" s="1"/>
  <c r="G107" i="1"/>
</calcChain>
</file>

<file path=xl/sharedStrings.xml><?xml version="1.0" encoding="utf-8"?>
<sst xmlns="http://schemas.openxmlformats.org/spreadsheetml/2006/main" count="359" uniqueCount="152">
  <si>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</si>
  <si>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</si>
  <si>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</si>
  <si>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</si>
  <si>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</si>
  <si>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</si>
  <si>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</si>
  <si>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</si>
  <si>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</si>
  <si>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</si>
  <si>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</si>
  <si>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</si>
  <si>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</si>
  <si>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</si>
  <si>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</si>
  <si>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</si>
  <si>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</si>
  <si>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</si>
  <si>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</si>
  <si>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</si>
  <si>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</si>
  <si>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</si>
  <si>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</si>
  <si>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</si>
  <si>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</si>
  <si>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</si>
  <si>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</si>
  <si>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</si>
  <si>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</si>
  <si>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</si>
  <si>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</si>
  <si>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</si>
  <si>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</si>
  <si>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</si>
  <si>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</si>
  <si>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</si>
  <si>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</si>
  <si>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</si>
  <si>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</si>
  <si>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</si>
  <si>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</si>
  <si>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</si>
  <si>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</si>
  <si>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</si>
  <si>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</si>
  <si>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</si>
  <si>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</si>
  <si>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</si>
  <si>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</si>
  <si>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</si>
  <si>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</si>
  <si>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</si>
  <si>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</si>
  <si>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</si>
  <si>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</si>
  <si>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</si>
  <si>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</si>
  <si>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</si>
  <si>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</si>
  <si>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</si>
  <si>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</si>
  <si>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</si>
  <si>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</si>
  <si>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</si>
  <si>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</si>
  <si>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</si>
  <si>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</si>
  <si>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</si>
  <si>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</si>
  <si>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</si>
  <si>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</si>
  <si>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</si>
  <si>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</si>
  <si>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</si>
  <si>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</si>
  <si>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</si>
  <si>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</si>
  <si>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</si>
  <si>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</si>
  <si>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</si>
  <si>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</si>
  <si>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</si>
  <si>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</si>
  <si>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</si>
  <si>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</si>
  <si>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</si>
  <si>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</si>
  <si>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</si>
  <si>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</si>
  <si>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</si>
  <si>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</si>
  <si>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</si>
  <si>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</si>
  <si>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</si>
  <si>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</si>
  <si>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</si>
  <si>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</si>
  <si>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</si>
  <si>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</si>
  <si>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</si>
  <si>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</si>
  <si>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</si>
  <si>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</si>
  <si>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</si>
  <si>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</si>
  <si>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</si>
  <si>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</si>
  <si>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</si>
  <si>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</si>
  <si>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</si>
  <si>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</si>
  <si>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</si>
  <si>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</si>
  <si>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</si>
  <si>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</si>
  <si>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</si>
  <si>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</si>
  <si>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</si>
  <si>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</si>
  <si>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</si>
  <si>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</si>
  <si>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</si>
  <si>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</si>
  <si>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</si>
  <si>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</si>
  <si>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</si>
  <si>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</si>
  <si>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</si>
  <si>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</si>
  <si>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</si>
  <si>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</si>
  <si>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</si>
  <si>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</si>
  <si>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</si>
  <si>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</si>
  <si>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</si>
  <si>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</si>
  <si>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</si>
  <si>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</si>
  <si>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</si>
  <si>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</si>
  <si>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</si>
  <si>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</si>
  <si>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</si>
  <si>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t>2 Registrert rekreasjonsfiske utgjør 39 tonn, men det legges til grunn at hele avsetningen tas</t>
  </si>
  <si>
    <t>4 Registrert rekreasjonsfiske utgjør 135 tonn, men det legges til grunn at hele avsetningen tas</t>
  </si>
  <si>
    <t>3 Registrert rekreasjonsfiske utgjør 489 tonn, men det legges til grunn at hele avsetningen tas</t>
  </si>
  <si>
    <t>FANGST UKE 15</t>
  </si>
  <si>
    <t>FANGST T.O.M UKE 15</t>
  </si>
  <si>
    <t>RESTKVOTER UKE 15</t>
  </si>
  <si>
    <t>FANGST T.O.M UKE 15 2023</t>
  </si>
  <si>
    <r>
      <t>3</t>
    </r>
    <r>
      <rPr>
        <sz val="9"/>
        <color indexed="8"/>
        <rFont val="Calibri"/>
        <family val="2"/>
      </rPr>
      <t xml:space="preserve"> Det er fisket 1349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</si>
</sst>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top" wrapText="1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zoomScale="85" zoomScaleNormal="85" zoomScaleSheetLayoutView="100" zoomScalePageLayoutView="85" workbookViewId="0"/>
  </sheetViews>
  <sheetFormatPr baseColWidth="10"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02" t="s">
        <v>123</v>
      </c>
      <c r="C2" s="303"/>
      <c r="D2" s="303"/>
      <c r="E2" s="303"/>
      <c r="F2" s="303"/>
      <c r="G2" s="303"/>
      <c r="H2" s="303"/>
      <c r="I2" s="303"/>
      <c r="J2" s="304"/>
    </row>
    <row r="3" spans="1:10" ht="14.85" customHeight="1" x14ac:dyDescent="0.2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5"/>
      <c r="C9" s="306"/>
      <c r="D9" s="306"/>
      <c r="E9" s="306"/>
      <c r="F9" s="306"/>
      <c r="G9" s="306"/>
      <c r="H9" s="306"/>
      <c r="I9" s="306"/>
      <c r="J9" s="307"/>
    </row>
    <row r="10" spans="1:10" ht="12" customHeight="1" x14ac:dyDescent="0.25">
      <c r="A10" s="1"/>
      <c r="B10" s="253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3"/>
    </row>
    <row r="12" spans="1:10" ht="14.1" customHeight="1" x14ac:dyDescent="0.25">
      <c r="A12" s="1"/>
      <c r="B12" s="253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3"/>
    </row>
    <row r="13" spans="1:10" ht="15.75" customHeight="1" x14ac:dyDescent="0.25">
      <c r="A13" s="1"/>
      <c r="B13" s="253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3"/>
    </row>
    <row r="14" spans="1:10" ht="14.25" customHeight="1" x14ac:dyDescent="0.25">
      <c r="A14" s="1"/>
      <c r="B14" s="253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3"/>
    </row>
    <row r="15" spans="1:10" ht="15.75" customHeight="1" x14ac:dyDescent="0.25">
      <c r="A15" s="1"/>
      <c r="B15" s="253"/>
      <c r="C15" s="115" t="s">
        <v>74</v>
      </c>
      <c r="D15" s="117">
        <v>62179</v>
      </c>
      <c r="E15" s="147"/>
      <c r="F15" s="166"/>
      <c r="G15" s="165" t="s">
        <v>12</v>
      </c>
      <c r="H15" s="290">
        <v>8832</v>
      </c>
      <c r="I15" s="178"/>
      <c r="J15" s="243"/>
    </row>
    <row r="16" spans="1:10" ht="14.1" customHeight="1" x14ac:dyDescent="0.25">
      <c r="A16" s="1"/>
      <c r="B16" s="253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3"/>
    </row>
    <row r="17" spans="1:10" ht="30" customHeight="1" x14ac:dyDescent="0.25">
      <c r="A17" s="101"/>
      <c r="B17" s="24"/>
      <c r="C17" s="301" t="s">
        <v>142</v>
      </c>
      <c r="D17" s="301"/>
      <c r="E17" s="301"/>
      <c r="F17" s="301"/>
      <c r="G17" s="301"/>
      <c r="H17" s="301"/>
      <c r="I17" s="101"/>
      <c r="J17" s="157"/>
    </row>
    <row r="18" spans="1:10" ht="15" customHeight="1" x14ac:dyDescent="0.25">
      <c r="A18" s="1"/>
      <c r="B18" s="240"/>
      <c r="C18" s="271"/>
      <c r="D18" s="271"/>
      <c r="E18" s="109"/>
      <c r="F18" s="271"/>
      <c r="G18" s="271"/>
      <c r="H18" s="271"/>
      <c r="I18" s="271"/>
      <c r="J18" s="184"/>
    </row>
    <row r="19" spans="1:10" ht="15" customHeight="1" x14ac:dyDescent="0.2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25">
      <c r="A20" s="1"/>
      <c r="B20" s="253"/>
      <c r="C20" s="18" t="s">
        <v>15</v>
      </c>
      <c r="D20" s="257"/>
      <c r="E20" s="274"/>
      <c r="F20" s="257"/>
      <c r="G20" s="257"/>
      <c r="H20" s="202"/>
      <c r="I20" s="257"/>
      <c r="J20" s="3"/>
    </row>
    <row r="21" spans="1:10" ht="12" customHeight="1" x14ac:dyDescent="0.25">
      <c r="A21" s="1"/>
      <c r="B21" s="253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147</v>
      </c>
      <c r="G22" s="68" t="s">
        <v>148</v>
      </c>
      <c r="H22" s="68" t="s">
        <v>149</v>
      </c>
      <c r="I22" s="68" t="s">
        <v>150</v>
      </c>
      <c r="J22" s="279"/>
    </row>
    <row r="23" spans="1:10" ht="14.1" customHeight="1" x14ac:dyDescent="0.25">
      <c r="A23" s="1"/>
      <c r="B23" s="253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825.21900000000005</v>
      </c>
      <c r="G23" s="28">
        <f t="shared" si="0"/>
        <v>31571.368589999998</v>
      </c>
      <c r="H23" s="11">
        <f t="shared" si="0"/>
        <v>29240.631410000002</v>
      </c>
      <c r="I23" s="11">
        <f t="shared" si="0"/>
        <v>35828.862240000002</v>
      </c>
      <c r="J23" s="243"/>
    </row>
    <row r="24" spans="1:10" ht="14.1" customHeight="1" x14ac:dyDescent="0.25">
      <c r="A24" s="1"/>
      <c r="B24" s="253"/>
      <c r="C24" s="44" t="s">
        <v>20</v>
      </c>
      <c r="D24" s="45">
        <v>61689</v>
      </c>
      <c r="E24" s="45">
        <v>60042</v>
      </c>
      <c r="F24" s="23">
        <f>825.219</f>
        <v>825.21900000000005</v>
      </c>
      <c r="G24" s="23">
        <f>31171.4643</f>
        <v>31171.4643</v>
      </c>
      <c r="H24" s="23">
        <f>E24-G24</f>
        <v>28870.5357</v>
      </c>
      <c r="I24" s="23">
        <f>35638.17375</f>
        <v>35638.173750000002</v>
      </c>
      <c r="J24" s="243"/>
    </row>
    <row r="25" spans="1:10" ht="14.1" customHeight="1" x14ac:dyDescent="0.25">
      <c r="A25" s="1"/>
      <c r="B25" s="253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399.90429</f>
        <v>399.90429</v>
      </c>
      <c r="H25" s="23">
        <f>E25-G25</f>
        <v>370.09571</v>
      </c>
      <c r="I25" s="23">
        <f>190.68849</f>
        <v>190.68849</v>
      </c>
      <c r="J25" s="243"/>
    </row>
    <row r="26" spans="1:10" ht="14.1" customHeight="1" x14ac:dyDescent="0.25">
      <c r="A26" s="1"/>
      <c r="B26" s="253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4655.2349000000004</v>
      </c>
      <c r="G26" s="11">
        <f t="shared" si="1"/>
        <v>101933.41264999998</v>
      </c>
      <c r="H26" s="11">
        <f t="shared" si="1"/>
        <v>42940.587350000002</v>
      </c>
      <c r="I26" s="11">
        <f t="shared" si="1"/>
        <v>133680.00446</v>
      </c>
      <c r="J26" s="243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3477.9167700000003</v>
      </c>
      <c r="G27" s="132">
        <f t="shared" ref="G27:I27" si="2">G28+G29+G30+G31+G32</f>
        <v>85882.533839999989</v>
      </c>
      <c r="H27" s="132">
        <f t="shared" si="2"/>
        <v>27095.466160000004</v>
      </c>
      <c r="I27" s="132">
        <f t="shared" si="2"/>
        <v>109222.85557999999</v>
      </c>
      <c r="J27" s="243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1064.73273</f>
        <v>1064.7327299999999</v>
      </c>
      <c r="G28" s="127">
        <f>23203.06269 - F56</f>
        <v>23203.062689999999</v>
      </c>
      <c r="H28" s="127">
        <f t="shared" ref="H28:H40" si="3">E28-G28</f>
        <v>5426.9373100000012</v>
      </c>
      <c r="I28" s="127">
        <f>29781.72362 - H56</f>
        <v>29781.723620000001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856.40934</f>
        <v>856.40934000000004</v>
      </c>
      <c r="G29" s="127">
        <f>24996.0786 - F57</f>
        <v>24996.078600000001</v>
      </c>
      <c r="H29" s="127">
        <f t="shared" si="3"/>
        <v>4668.9213999999993</v>
      </c>
      <c r="I29" s="127">
        <f>32233.13585 - H57</f>
        <v>32233.135849999999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1002.36185</f>
        <v>1002.36185</v>
      </c>
      <c r="G30" s="127">
        <f>21654.93108 - F58</f>
        <v>21654.931079999998</v>
      </c>
      <c r="H30" s="127">
        <f t="shared" si="3"/>
        <v>5589.0689200000015</v>
      </c>
      <c r="I30" s="127">
        <f>27842.45241 - H58</f>
        <v>27842.452410000002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554.41285</f>
        <v>554.41285000000005</v>
      </c>
      <c r="G31" s="127">
        <f>16028.46147 - F59</f>
        <v>16028.46147</v>
      </c>
      <c r="H31" s="127">
        <f t="shared" si="3"/>
        <v>3310.5385299999998</v>
      </c>
      <c r="I31" s="127">
        <f>19365.5437 - H59</f>
        <v>19365.543699999998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0</v>
      </c>
      <c r="G32" s="127">
        <f>F55</f>
        <v>0</v>
      </c>
      <c r="H32" s="127">
        <f t="shared" si="3"/>
        <v>8100</v>
      </c>
      <c r="I32" s="127">
        <f>H55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372.30062</f>
        <v>372.30061999999998</v>
      </c>
      <c r="G33" s="132">
        <f>6741.54032</f>
        <v>6741.5403200000001</v>
      </c>
      <c r="H33" s="132">
        <f t="shared" si="3"/>
        <v>10117.45968</v>
      </c>
      <c r="I33" s="132">
        <f>9755.95952</f>
        <v>9755.9595200000003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805.01751000000002</v>
      </c>
      <c r="G34" s="132">
        <f>G35+G36</f>
        <v>9309.3384900000001</v>
      </c>
      <c r="H34" s="132">
        <f t="shared" si="3"/>
        <v>5727.6615099999999</v>
      </c>
      <c r="I34" s="132">
        <f>I35+I36</f>
        <v>14701.18936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805.01751</f>
        <v>805.01751000000002</v>
      </c>
      <c r="G35" s="132">
        <f>11066.33849 - F60 - F61</f>
        <v>9309.3384900000001</v>
      </c>
      <c r="H35" s="127">
        <f t="shared" si="3"/>
        <v>4767.6615099999999</v>
      </c>
      <c r="I35" s="127">
        <f>16680.18936 - H60 - H61</f>
        <v>14701.18936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0</v>
      </c>
      <c r="G36" s="71">
        <f>F60</f>
        <v>0</v>
      </c>
      <c r="H36" s="71">
        <f t="shared" si="3"/>
        <v>960</v>
      </c>
      <c r="I36" s="71">
        <f>H60</f>
        <v>0</v>
      </c>
      <c r="J36" s="65"/>
    </row>
    <row r="37" spans="1:13" ht="15.75" customHeight="1" x14ac:dyDescent="0.25">
      <c r="A37" s="1"/>
      <c r="B37" s="253"/>
      <c r="C37" s="73" t="s">
        <v>33</v>
      </c>
      <c r="D37" s="143">
        <v>2000</v>
      </c>
      <c r="E37" s="143">
        <v>2000</v>
      </c>
      <c r="F37" s="139">
        <f>36.832</f>
        <v>36.832000000000001</v>
      </c>
      <c r="G37" s="139">
        <f>114.2088</f>
        <v>114.2088</v>
      </c>
      <c r="H37" s="139">
        <f t="shared" si="3"/>
        <v>1885.7912000000001</v>
      </c>
      <c r="I37" s="139">
        <f>270.2652</f>
        <v>270.26519999999999</v>
      </c>
      <c r="J37" s="243"/>
    </row>
    <row r="38" spans="1:13" ht="14.1" customHeight="1" x14ac:dyDescent="0.25">
      <c r="A38" s="1"/>
      <c r="B38" s="253"/>
      <c r="C38" s="73" t="s">
        <v>34</v>
      </c>
      <c r="D38" s="143">
        <v>855</v>
      </c>
      <c r="E38" s="143">
        <v>855</v>
      </c>
      <c r="F38" s="98">
        <f>5.4759</f>
        <v>5.4759000000000002</v>
      </c>
      <c r="G38" s="98">
        <f>412.86884</f>
        <v>412.86883999999998</v>
      </c>
      <c r="H38" s="98">
        <f t="shared" si="3"/>
        <v>442.13116000000002</v>
      </c>
      <c r="I38" s="98">
        <f>414.74198</f>
        <v>414.74198000000001</v>
      </c>
      <c r="J38" s="243"/>
    </row>
    <row r="39" spans="1:13" ht="17.25" customHeight="1" x14ac:dyDescent="0.25">
      <c r="A39" s="1"/>
      <c r="B39" s="253"/>
      <c r="C39" s="73" t="s">
        <v>35</v>
      </c>
      <c r="D39" s="143">
        <v>3000</v>
      </c>
      <c r="E39" s="143">
        <v>3000</v>
      </c>
      <c r="F39" s="98">
        <f>E61</f>
        <v>199</v>
      </c>
      <c r="G39" s="98">
        <f>F61</f>
        <v>1757</v>
      </c>
      <c r="H39" s="98">
        <f t="shared" si="3"/>
        <v>1243</v>
      </c>
      <c r="I39" s="98">
        <f>H61</f>
        <v>1979</v>
      </c>
      <c r="J39" s="243"/>
    </row>
    <row r="40" spans="1:13" ht="17.25" customHeight="1" x14ac:dyDescent="0.25">
      <c r="A40" s="1"/>
      <c r="B40" s="253"/>
      <c r="C40" s="73" t="s">
        <v>36</v>
      </c>
      <c r="D40" s="143">
        <v>7000</v>
      </c>
      <c r="E40" s="143">
        <v>7000</v>
      </c>
      <c r="F40" s="98">
        <f>29.55249</f>
        <v>29.552489999999999</v>
      </c>
      <c r="G40" s="98">
        <f>E40</f>
        <v>7000</v>
      </c>
      <c r="H40" s="98">
        <f t="shared" si="3"/>
        <v>0</v>
      </c>
      <c r="I40" s="98">
        <f>E40</f>
        <v>7000</v>
      </c>
      <c r="J40" s="243"/>
    </row>
    <row r="41" spans="1:13" ht="17.25" customHeight="1" x14ac:dyDescent="0.25">
      <c r="A41" s="1"/>
      <c r="B41" s="253"/>
      <c r="C41" s="73" t="s">
        <v>38</v>
      </c>
      <c r="D41" s="143">
        <v>400</v>
      </c>
      <c r="E41" s="143">
        <v>400</v>
      </c>
      <c r="F41" s="98">
        <f>19.09726</f>
        <v>19.097259999999999</v>
      </c>
      <c r="G41" s="98">
        <f>285.84571</f>
        <v>285.84571</v>
      </c>
      <c r="H41" s="98">
        <f>E41-G41</f>
        <v>114.15429</v>
      </c>
      <c r="I41" s="98">
        <f>236.76925</f>
        <v>236.76925</v>
      </c>
      <c r="J41" s="243"/>
    </row>
    <row r="42" spans="1:13" ht="17.25" customHeight="1" x14ac:dyDescent="0.25">
      <c r="A42" s="1"/>
      <c r="B42" s="253"/>
      <c r="C42" s="73" t="s">
        <v>130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3"/>
      <c r="M42" s="224"/>
    </row>
    <row r="43" spans="1:13" ht="14.1" customHeight="1" x14ac:dyDescent="0.25">
      <c r="A43" s="1"/>
      <c r="B43" s="253"/>
      <c r="C43" s="73" t="s">
        <v>39</v>
      </c>
      <c r="D43" s="143"/>
      <c r="E43" s="139"/>
      <c r="F43" s="139">
        <f>0.072</f>
        <v>7.1999999999999995E-2</v>
      </c>
      <c r="G43" s="139">
        <f>97.99276</f>
        <v>97.992760000000004</v>
      </c>
      <c r="H43" s="139">
        <f t="shared" ref="H43" si="4">E43-G43</f>
        <v>-97.992760000000004</v>
      </c>
      <c r="I43" s="139">
        <f>38.80464</f>
        <v>38.804639999999999</v>
      </c>
      <c r="J43" s="243"/>
    </row>
    <row r="44" spans="1:13" ht="16.5" customHeight="1" x14ac:dyDescent="0.25">
      <c r="A44" s="1"/>
      <c r="B44" s="253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5770.4835500000008</v>
      </c>
      <c r="G44" s="76">
        <f t="shared" si="5"/>
        <v>143172.70134999996</v>
      </c>
      <c r="H44" s="76">
        <f t="shared" si="5"/>
        <v>75868.298650000026</v>
      </c>
      <c r="I44" s="76">
        <f t="shared" si="5"/>
        <v>179448.44777</v>
      </c>
      <c r="J44" s="243"/>
    </row>
    <row r="45" spans="1:13" ht="14.1" customHeight="1" x14ac:dyDescent="0.25">
      <c r="A45" s="101"/>
      <c r="B45" s="24"/>
      <c r="C45" s="77" t="s">
        <v>131</v>
      </c>
      <c r="D45" s="257"/>
      <c r="E45" s="257"/>
      <c r="F45" s="80"/>
      <c r="G45" s="80"/>
      <c r="H45" s="227"/>
      <c r="I45" s="227"/>
      <c r="J45" s="81"/>
    </row>
    <row r="46" spans="1:13" ht="14.1" customHeight="1" x14ac:dyDescent="0.25">
      <c r="A46" s="101"/>
      <c r="B46" s="24"/>
      <c r="C46" s="82" t="s">
        <v>41</v>
      </c>
      <c r="D46" s="257"/>
      <c r="E46" s="257"/>
      <c r="F46" s="257"/>
      <c r="G46" s="80"/>
      <c r="H46" s="178"/>
      <c r="I46" s="178"/>
      <c r="J46" s="243"/>
    </row>
    <row r="47" spans="1:13" ht="14.1" customHeight="1" x14ac:dyDescent="0.25">
      <c r="A47" s="101"/>
      <c r="B47" s="24"/>
      <c r="C47" s="161" t="s">
        <v>146</v>
      </c>
      <c r="D47" s="257"/>
      <c r="E47" s="257"/>
      <c r="F47" s="257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132</v>
      </c>
      <c r="D48" s="257"/>
      <c r="E48" s="257"/>
      <c r="F48" s="257"/>
      <c r="G48" s="257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7"/>
      <c r="E49" s="257"/>
      <c r="F49" s="257"/>
      <c r="G49" s="257"/>
      <c r="H49" s="178"/>
      <c r="I49" s="178"/>
      <c r="J49" s="120"/>
    </row>
    <row r="50" spans="1:10" ht="14.1" customHeight="1" x14ac:dyDescent="0.25">
      <c r="A50" s="101"/>
      <c r="B50" s="24"/>
      <c r="C50" s="101"/>
      <c r="D50" s="257"/>
      <c r="E50" s="257"/>
      <c r="F50" s="257"/>
      <c r="G50" s="257"/>
      <c r="H50" s="178"/>
      <c r="I50" s="178"/>
      <c r="J50" s="120"/>
    </row>
    <row r="51" spans="1:10" ht="20.25" customHeight="1" x14ac:dyDescent="0.25">
      <c r="A51" s="101"/>
      <c r="B51" s="240"/>
      <c r="C51" s="271"/>
      <c r="D51" s="271"/>
      <c r="E51" s="109"/>
      <c r="F51" s="271"/>
      <c r="G51" s="271"/>
      <c r="H51" s="271"/>
      <c r="I51" s="271"/>
      <c r="J51" s="184"/>
    </row>
    <row r="52" spans="1:10" ht="33" customHeight="1" x14ac:dyDescent="0.2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25">
      <c r="A53" s="101"/>
      <c r="B53" s="24"/>
      <c r="C53" s="161"/>
      <c r="D53" s="257"/>
      <c r="E53" s="257"/>
      <c r="F53" s="257"/>
      <c r="G53" s="257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147</v>
      </c>
      <c r="F54" s="68" t="s">
        <v>148</v>
      </c>
      <c r="G54" s="68" t="s">
        <v>149</v>
      </c>
      <c r="H54" s="68" t="s">
        <v>150</v>
      </c>
      <c r="I54" s="257"/>
      <c r="J54" s="243"/>
    </row>
    <row r="55" spans="1:10" ht="14.1" customHeight="1" x14ac:dyDescent="0.25">
      <c r="A55" s="101"/>
      <c r="B55" s="24"/>
      <c r="C55" s="16" t="s">
        <v>45</v>
      </c>
      <c r="D55" s="295">
        <v>7872</v>
      </c>
      <c r="E55" s="11">
        <f>E59+E58+E57+E56</f>
        <v>0</v>
      </c>
      <c r="F55" s="11">
        <f>F59+F58+F57+F56</f>
        <v>0</v>
      </c>
      <c r="G55" s="295">
        <f>D55-F55</f>
        <v>7872</v>
      </c>
      <c r="H55" s="11">
        <f>H59+H58+H57+H56</f>
        <v>0</v>
      </c>
      <c r="I55" s="257"/>
      <c r="J55" s="243"/>
    </row>
    <row r="56" spans="1:10" ht="14.1" customHeight="1" x14ac:dyDescent="0.25">
      <c r="A56" s="101"/>
      <c r="B56" s="24"/>
      <c r="C56" s="62" t="s">
        <v>24</v>
      </c>
      <c r="D56" s="296"/>
      <c r="E56" s="127"/>
      <c r="F56" s="127"/>
      <c r="G56" s="296"/>
      <c r="H56" s="127"/>
      <c r="I56" s="257"/>
      <c r="J56" s="243"/>
    </row>
    <row r="57" spans="1:10" ht="14.1" customHeight="1" x14ac:dyDescent="0.25">
      <c r="A57" s="101"/>
      <c r="B57" s="24"/>
      <c r="C57" s="62" t="s">
        <v>25</v>
      </c>
      <c r="D57" s="296"/>
      <c r="E57" s="127"/>
      <c r="F57" s="127"/>
      <c r="G57" s="296"/>
      <c r="H57" s="127"/>
      <c r="I57" s="257"/>
      <c r="J57" s="243"/>
    </row>
    <row r="58" spans="1:10" ht="14.1" customHeight="1" x14ac:dyDescent="0.25">
      <c r="A58" s="101"/>
      <c r="B58" s="24"/>
      <c r="C58" s="62" t="s">
        <v>26</v>
      </c>
      <c r="D58" s="296"/>
      <c r="E58" s="127"/>
      <c r="F58" s="127"/>
      <c r="G58" s="296"/>
      <c r="H58" s="127"/>
      <c r="I58" s="257"/>
      <c r="J58" s="243"/>
    </row>
    <row r="59" spans="1:10" ht="14.1" customHeight="1" x14ac:dyDescent="0.25">
      <c r="A59" s="101"/>
      <c r="B59" s="24"/>
      <c r="C59" s="87" t="s">
        <v>27</v>
      </c>
      <c r="D59" s="297"/>
      <c r="E59" s="192"/>
      <c r="F59" s="192"/>
      <c r="G59" s="297"/>
      <c r="H59" s="192"/>
      <c r="I59" s="257"/>
      <c r="J59" s="243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>
        <v>0</v>
      </c>
      <c r="F60" s="95">
        <v>0</v>
      </c>
      <c r="G60" s="95">
        <f>D60-F60</f>
        <v>960</v>
      </c>
      <c r="H60" s="95">
        <v>0</v>
      </c>
      <c r="I60" s="257"/>
      <c r="J60" s="243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>
        <v>199</v>
      </c>
      <c r="F61" s="139">
        <v>1757</v>
      </c>
      <c r="G61" s="139">
        <f>D61-F61</f>
        <v>1243</v>
      </c>
      <c r="H61" s="139">
        <v>1979</v>
      </c>
      <c r="I61" s="257"/>
      <c r="J61" s="243"/>
    </row>
    <row r="62" spans="1:10" ht="14.1" customHeight="1" x14ac:dyDescent="0.25">
      <c r="A62" s="101"/>
      <c r="B62" s="24"/>
      <c r="C62" s="77" t="s">
        <v>133</v>
      </c>
      <c r="D62" s="257"/>
      <c r="E62" s="257"/>
      <c r="F62" s="257"/>
      <c r="G62" s="257"/>
      <c r="H62" s="178"/>
      <c r="I62" s="178"/>
      <c r="J62" s="120"/>
    </row>
    <row r="63" spans="1:10" ht="14.1" customHeight="1" x14ac:dyDescent="0.25">
      <c r="A63" s="101"/>
      <c r="B63" s="24"/>
      <c r="C63" s="161"/>
      <c r="D63" s="257"/>
      <c r="E63" s="257"/>
      <c r="F63" s="257"/>
      <c r="G63" s="257"/>
      <c r="H63" s="178"/>
      <c r="I63" s="178"/>
      <c r="J63" s="120"/>
    </row>
    <row r="64" spans="1:10" ht="15" customHeight="1" x14ac:dyDescent="0.25">
      <c r="A64" s="101"/>
      <c r="B64" s="24"/>
      <c r="C64" s="161"/>
      <c r="D64" s="257"/>
      <c r="E64" s="257"/>
      <c r="F64" s="257"/>
      <c r="G64" s="257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7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116</v>
      </c>
      <c r="C68" s="287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125.25" customHeight="1" x14ac:dyDescent="0.25"/>
    <row r="78" spans="1:10" ht="17.100000000000001" customHeight="1" x14ac:dyDescent="0.2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8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3"/>
    </row>
    <row r="82" spans="1:10" ht="15" customHeight="1" x14ac:dyDescent="0.25">
      <c r="B82" s="253"/>
      <c r="C82" s="115" t="s">
        <v>6</v>
      </c>
      <c r="D82" s="117">
        <v>70605</v>
      </c>
      <c r="E82" s="258" t="s">
        <v>4</v>
      </c>
      <c r="F82" s="114">
        <v>26707</v>
      </c>
      <c r="G82" s="191" t="s">
        <v>5</v>
      </c>
      <c r="H82" s="114">
        <v>7843</v>
      </c>
      <c r="I82" s="178"/>
      <c r="J82" s="243"/>
    </row>
    <row r="83" spans="1:10" ht="15" customHeight="1" x14ac:dyDescent="0.25">
      <c r="B83" s="253"/>
      <c r="C83" s="115" t="s">
        <v>9</v>
      </c>
      <c r="D83" s="117">
        <v>61605</v>
      </c>
      <c r="E83" s="247" t="s">
        <v>7</v>
      </c>
      <c r="F83" s="117">
        <v>43575</v>
      </c>
      <c r="G83" s="191" t="s">
        <v>8</v>
      </c>
      <c r="H83" s="117">
        <v>32246</v>
      </c>
      <c r="I83" s="178"/>
      <c r="J83" s="243"/>
    </row>
    <row r="84" spans="1:10" ht="14.1" customHeight="1" x14ac:dyDescent="0.25">
      <c r="B84" s="253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3"/>
    </row>
    <row r="85" spans="1:10" ht="12" customHeight="1" x14ac:dyDescent="0.25">
      <c r="B85" s="253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3"/>
    </row>
    <row r="86" spans="1:10" ht="14.25" customHeight="1" x14ac:dyDescent="0.25">
      <c r="A86" s="1"/>
      <c r="B86" s="253"/>
      <c r="C86" s="101" t="s">
        <v>143</v>
      </c>
      <c r="D86" s="219"/>
      <c r="E86" s="219"/>
      <c r="F86" s="219"/>
      <c r="G86" s="219"/>
      <c r="H86" s="219"/>
      <c r="I86" s="235"/>
      <c r="J86" s="120"/>
    </row>
    <row r="87" spans="1:10" ht="6" customHeight="1" x14ac:dyDescent="0.25">
      <c r="A87" s="1"/>
      <c r="B87" s="253"/>
      <c r="C87" s="96"/>
      <c r="D87" s="96"/>
      <c r="E87" s="96"/>
      <c r="F87" s="96"/>
      <c r="G87" s="96"/>
      <c r="H87" s="96"/>
      <c r="I87" s="235"/>
      <c r="J87" s="120"/>
    </row>
    <row r="88" spans="1:10" ht="14.1" customHeight="1" x14ac:dyDescent="0.25">
      <c r="A88" s="1"/>
      <c r="B88" s="135"/>
      <c r="C88" s="271"/>
      <c r="D88" s="109"/>
      <c r="E88" s="271"/>
      <c r="F88" s="271"/>
      <c r="G88" s="271"/>
      <c r="H88" s="271"/>
      <c r="I88" s="260"/>
      <c r="J88" s="184"/>
    </row>
    <row r="89" spans="1:10" ht="20.25" customHeight="1" x14ac:dyDescent="0.25">
      <c r="A89" s="1"/>
      <c r="B89" s="253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25">
      <c r="A91" s="1"/>
      <c r="B91" s="253"/>
      <c r="C91" s="15" t="s">
        <v>16</v>
      </c>
      <c r="D91" s="113" t="s">
        <v>17</v>
      </c>
      <c r="E91" s="15" t="s">
        <v>50</v>
      </c>
      <c r="F91" s="15" t="s">
        <v>147</v>
      </c>
      <c r="G91" s="15" t="s">
        <v>148</v>
      </c>
      <c r="H91" s="15" t="s">
        <v>149</v>
      </c>
      <c r="I91" s="15" t="s">
        <v>150</v>
      </c>
      <c r="J91" s="120"/>
    </row>
    <row r="92" spans="1:10" ht="14.1" customHeight="1" x14ac:dyDescent="0.25">
      <c r="A92" s="1"/>
      <c r="B92" s="253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511.67450000000002</v>
      </c>
      <c r="G92" s="11">
        <f t="shared" si="6"/>
        <v>21560.85756</v>
      </c>
      <c r="H92" s="11">
        <f t="shared" si="6"/>
        <v>4400.1424400000005</v>
      </c>
      <c r="I92" s="11">
        <f t="shared" si="6"/>
        <v>32258.32258</v>
      </c>
      <c r="J92" s="243"/>
    </row>
    <row r="93" spans="1:10" ht="15" customHeight="1" x14ac:dyDescent="0.25">
      <c r="A93" s="1"/>
      <c r="B93" s="253"/>
      <c r="C93" s="44" t="s">
        <v>20</v>
      </c>
      <c r="D93" s="45">
        <v>25957</v>
      </c>
      <c r="E93" s="45">
        <v>25136</v>
      </c>
      <c r="F93" s="23">
        <f>511.6745</f>
        <v>511.67450000000002</v>
      </c>
      <c r="G93" s="23">
        <f>20814.29251</f>
        <v>20814.292509999999</v>
      </c>
      <c r="H93" s="23">
        <f>E93-G93</f>
        <v>4321.7074900000007</v>
      </c>
      <c r="I93" s="23">
        <f>31774.26964</f>
        <v>31774.269639999999</v>
      </c>
      <c r="J93" s="243"/>
    </row>
    <row r="94" spans="1:10" ht="14.1" customHeight="1" x14ac:dyDescent="0.25">
      <c r="A94" s="1"/>
      <c r="B94" s="253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746.56505</f>
        <v>746.56505000000004</v>
      </c>
      <c r="H94" s="50">
        <f>E94-G94</f>
        <v>78.434949999999958</v>
      </c>
      <c r="I94" s="50">
        <f>484.05294</f>
        <v>484.05293999999998</v>
      </c>
      <c r="J94" s="243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579.52071999999998</v>
      </c>
      <c r="G95" s="11">
        <f t="shared" si="7"/>
        <v>17772.035459999999</v>
      </c>
      <c r="H95" s="11">
        <f t="shared" si="7"/>
        <v>31221.964540000001</v>
      </c>
      <c r="I95" s="11">
        <f t="shared" si="7"/>
        <v>12740.050809999999</v>
      </c>
      <c r="J95" s="243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517.52164000000005</v>
      </c>
      <c r="G96" s="132">
        <f t="shared" si="8"/>
        <v>12674.264869999999</v>
      </c>
      <c r="H96" s="132">
        <f t="shared" si="8"/>
        <v>24819.735130000001</v>
      </c>
      <c r="I96" s="132">
        <f t="shared" si="8"/>
        <v>8105.2659399999993</v>
      </c>
      <c r="J96" s="243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100.40426</f>
        <v>100.40425999999999</v>
      </c>
      <c r="G97" s="127">
        <f>3085.03758</f>
        <v>3085.0375800000002</v>
      </c>
      <c r="H97" s="127">
        <f t="shared" ref="H97:H104" si="9">E97-G97</f>
        <v>6929.9624199999998</v>
      </c>
      <c r="I97" s="127">
        <f>1697.31161</f>
        <v>1697.31161</v>
      </c>
      <c r="J97" s="243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221.46564</f>
        <v>221.46564000000001</v>
      </c>
      <c r="G98" s="127">
        <f>4341.05598</f>
        <v>4341.0559800000001</v>
      </c>
      <c r="H98" s="127">
        <f t="shared" si="9"/>
        <v>6272.9440199999999</v>
      </c>
      <c r="I98" s="127">
        <f>2392.17144</f>
        <v>2392.1714400000001</v>
      </c>
      <c r="J98" s="243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95.52969</f>
        <v>95.529690000000002</v>
      </c>
      <c r="G99" s="127">
        <f>3248.798</f>
        <v>3248.7979999999998</v>
      </c>
      <c r="H99" s="127">
        <f t="shared" si="9"/>
        <v>6863.2020000000002</v>
      </c>
      <c r="I99" s="127">
        <f>1904.49602</f>
        <v>1904.49602</v>
      </c>
      <c r="J99" s="243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100.12205</f>
        <v>100.12205</v>
      </c>
      <c r="G100" s="127">
        <f>1999.37331</f>
        <v>1999.3733099999999</v>
      </c>
      <c r="H100" s="127">
        <f t="shared" si="9"/>
        <v>4753.6266900000001</v>
      </c>
      <c r="I100" s="127">
        <f>2111.28687</f>
        <v>2111.2868699999999</v>
      </c>
      <c r="J100" s="243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1.81602</f>
        <v>1.81602</v>
      </c>
      <c r="G101" s="132">
        <f>3684.8602</f>
        <v>3684.8602000000001</v>
      </c>
      <c r="H101" s="132">
        <f t="shared" si="9"/>
        <v>3911.1397999999999</v>
      </c>
      <c r="I101" s="132">
        <f>3649.13639</f>
        <v>3649.1363900000001</v>
      </c>
      <c r="J101" s="243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60.18306</f>
        <v>60.183059999999998</v>
      </c>
      <c r="G102" s="75">
        <f>1412.91039</f>
        <v>1412.91039</v>
      </c>
      <c r="H102" s="75">
        <f t="shared" si="9"/>
        <v>2491.08961</v>
      </c>
      <c r="I102" s="75">
        <f>985.64848</f>
        <v>985.64847999999995</v>
      </c>
      <c r="J102" s="243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0.05472</f>
        <v>5.4719999999999998E-2</v>
      </c>
      <c r="G103" s="98">
        <f>31.61178</f>
        <v>31.61178</v>
      </c>
      <c r="H103" s="98">
        <f t="shared" si="9"/>
        <v>287.38821999999999</v>
      </c>
      <c r="I103" s="98">
        <f>11.1417</f>
        <v>11.1417</v>
      </c>
      <c r="J103" s="243"/>
    </row>
    <row r="104" spans="1:10" ht="18" customHeight="1" x14ac:dyDescent="0.25">
      <c r="A104" s="1"/>
      <c r="B104" s="253"/>
      <c r="C104" s="73" t="s">
        <v>54</v>
      </c>
      <c r="D104" s="143">
        <v>300</v>
      </c>
      <c r="E104" s="143">
        <v>300</v>
      </c>
      <c r="F104" s="139">
        <f>2.89999</f>
        <v>2.8999899999999998</v>
      </c>
      <c r="G104" s="139">
        <f>E104</f>
        <v>300</v>
      </c>
      <c r="H104" s="139">
        <f t="shared" si="9"/>
        <v>0</v>
      </c>
      <c r="I104" s="139">
        <f>E104</f>
        <v>300</v>
      </c>
      <c r="J104" s="243"/>
    </row>
    <row r="105" spans="1:10" ht="16.5" customHeight="1" x14ac:dyDescent="0.25">
      <c r="A105" s="1"/>
      <c r="B105" s="253"/>
      <c r="C105" s="93" t="s">
        <v>38</v>
      </c>
      <c r="D105" s="143">
        <v>50</v>
      </c>
      <c r="E105" s="143">
        <v>50</v>
      </c>
      <c r="F105" s="98">
        <f>3.4293</f>
        <v>3.4293</v>
      </c>
      <c r="G105" s="98">
        <f>16.60054</f>
        <v>16.600539999999999</v>
      </c>
      <c r="H105" s="139">
        <f>E105-G105</f>
        <v>33.399460000000005</v>
      </c>
      <c r="I105" s="98">
        <f>4.86326</f>
        <v>4.8632600000000004</v>
      </c>
      <c r="J105" s="243"/>
    </row>
    <row r="106" spans="1:10" ht="18" customHeight="1" x14ac:dyDescent="0.25">
      <c r="A106" s="1"/>
      <c r="B106" s="253"/>
      <c r="C106" s="93" t="s">
        <v>55</v>
      </c>
      <c r="D106" s="143"/>
      <c r="E106" s="139"/>
      <c r="F106" s="139">
        <f>2.866</f>
        <v>2.8660000000000001</v>
      </c>
      <c r="G106" s="139">
        <f>16.24224</f>
        <v>16.242239999999999</v>
      </c>
      <c r="H106" s="139">
        <f t="shared" ref="H106" si="10">E106-G106</f>
        <v>-16.242239999999999</v>
      </c>
      <c r="I106" s="139">
        <f>19.85554</f>
        <v>19.855540000000001</v>
      </c>
      <c r="J106" s="243"/>
    </row>
    <row r="107" spans="1:10" ht="16.5" customHeight="1" x14ac:dyDescent="0.25">
      <c r="A107" s="1"/>
      <c r="B107" s="253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1100.44523</v>
      </c>
      <c r="G107" s="76">
        <f t="shared" si="12"/>
        <v>39697.347580000001</v>
      </c>
      <c r="H107" s="76">
        <f t="shared" si="12"/>
        <v>35926.652420000006</v>
      </c>
      <c r="I107" s="76">
        <f t="shared" si="12"/>
        <v>45334.233889999996</v>
      </c>
      <c r="J107" s="243"/>
    </row>
    <row r="108" spans="1:10" ht="13.5" customHeight="1" x14ac:dyDescent="0.25">
      <c r="A108" s="1"/>
      <c r="B108" s="253"/>
      <c r="C108" s="77" t="s">
        <v>134</v>
      </c>
      <c r="D108" s="100"/>
      <c r="E108" s="100"/>
      <c r="F108" s="102"/>
      <c r="G108" s="102"/>
      <c r="H108" s="104"/>
      <c r="I108" s="227"/>
      <c r="J108" s="243"/>
    </row>
    <row r="109" spans="1:10" ht="13.5" customHeight="1" x14ac:dyDescent="0.25">
      <c r="A109" s="1"/>
      <c r="B109" s="24"/>
      <c r="C109" s="161" t="s">
        <v>144</v>
      </c>
      <c r="D109" s="257"/>
      <c r="E109" s="257"/>
      <c r="F109" s="80"/>
      <c r="G109" s="80"/>
      <c r="H109" s="227"/>
      <c r="I109" s="227"/>
      <c r="J109" s="105"/>
    </row>
    <row r="110" spans="1:10" ht="15" customHeight="1" x14ac:dyDescent="0.25">
      <c r="A110" s="1"/>
      <c r="B110" s="24"/>
      <c r="C110" s="161" t="s">
        <v>135</v>
      </c>
      <c r="D110" s="257"/>
      <c r="E110" s="257"/>
      <c r="F110" s="80"/>
      <c r="G110" s="80"/>
      <c r="H110" s="227"/>
      <c r="I110" s="227"/>
      <c r="J110" s="105"/>
    </row>
    <row r="111" spans="1:10" ht="15" customHeight="1" x14ac:dyDescent="0.25">
      <c r="A111" s="1"/>
      <c r="B111" s="24"/>
      <c r="C111" s="227" t="s">
        <v>56</v>
      </c>
      <c r="D111" s="257"/>
      <c r="E111" s="257"/>
      <c r="F111" s="80"/>
      <c r="G111" s="80"/>
      <c r="H111" s="227"/>
      <c r="I111" s="227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116</v>
      </c>
      <c r="D113" s="227"/>
      <c r="E113" s="227"/>
      <c r="F113" s="227"/>
      <c r="G113" s="227"/>
      <c r="H113" s="227"/>
      <c r="I113" s="101"/>
      <c r="J113" s="101" t="s">
        <v>116</v>
      </c>
    </row>
    <row r="114" spans="1:10" ht="14.25" customHeight="1" x14ac:dyDescent="0.2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00000000000001" customHeight="1" x14ac:dyDescent="0.2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2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3"/>
    </row>
    <row r="119" spans="1:10" ht="14.1" customHeight="1" x14ac:dyDescent="0.25">
      <c r="A119" s="1"/>
      <c r="B119" s="253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3"/>
    </row>
    <row r="120" spans="1:10" ht="14.1" customHeight="1" x14ac:dyDescent="0.25">
      <c r="A120" s="1"/>
      <c r="B120" s="253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3"/>
    </row>
    <row r="121" spans="1:10" ht="14.1" customHeight="1" x14ac:dyDescent="0.25">
      <c r="A121" s="1"/>
      <c r="B121" s="253"/>
      <c r="C121" s="247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3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3"/>
    </row>
    <row r="123" spans="1:10" ht="12" customHeight="1" x14ac:dyDescent="0.25">
      <c r="A123" s="1"/>
      <c r="B123" s="253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3"/>
    </row>
    <row r="124" spans="1:10" ht="12" customHeight="1" x14ac:dyDescent="0.2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2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3" t="s">
        <v>16</v>
      </c>
      <c r="D127" s="15" t="s">
        <v>17</v>
      </c>
      <c r="E127" s="15" t="s">
        <v>61</v>
      </c>
      <c r="F127" s="15" t="s">
        <v>147</v>
      </c>
      <c r="G127" s="15" t="s">
        <v>148</v>
      </c>
      <c r="H127" s="15" t="s">
        <v>149</v>
      </c>
      <c r="I127" s="15" t="s">
        <v>150</v>
      </c>
      <c r="J127" s="279"/>
    </row>
    <row r="128" spans="1:10" ht="14.1" customHeight="1" x14ac:dyDescent="0.25">
      <c r="A128" s="1"/>
      <c r="B128" s="253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282.07685000000004</v>
      </c>
      <c r="G128" s="11">
        <f t="shared" si="13"/>
        <v>30226.881649999999</v>
      </c>
      <c r="H128" s="11">
        <f t="shared" si="13"/>
        <v>42080.118350000004</v>
      </c>
      <c r="I128" s="11">
        <f t="shared" si="13"/>
        <v>28808.921349999997</v>
      </c>
      <c r="J128" s="243"/>
    </row>
    <row r="129" spans="1:10" ht="14.1" customHeight="1" x14ac:dyDescent="0.25">
      <c r="A129" s="1"/>
      <c r="B129" s="253"/>
      <c r="C129" s="44" t="s">
        <v>20</v>
      </c>
      <c r="D129" s="45">
        <v>60688</v>
      </c>
      <c r="E129" s="45">
        <v>57562</v>
      </c>
      <c r="F129" s="23">
        <f>279.85185</f>
        <v>279.85185000000001</v>
      </c>
      <c r="G129" s="23">
        <f>26602.32666</f>
        <v>26602.326659999999</v>
      </c>
      <c r="H129" s="23">
        <f>E129-G129</f>
        <v>30959.673340000001</v>
      </c>
      <c r="I129" s="23">
        <f>24534.41927</f>
        <v>24534.419269999999</v>
      </c>
      <c r="J129" s="243"/>
    </row>
    <row r="130" spans="1:10" ht="15" customHeight="1" x14ac:dyDescent="0.25">
      <c r="A130" s="1"/>
      <c r="B130" s="253"/>
      <c r="C130" s="44" t="s">
        <v>21</v>
      </c>
      <c r="D130" s="45">
        <v>14672</v>
      </c>
      <c r="E130" s="45">
        <v>14245</v>
      </c>
      <c r="F130" s="23">
        <f>0</f>
        <v>0</v>
      </c>
      <c r="G130" s="23">
        <f>3559.10484</f>
        <v>3559.10484</v>
      </c>
      <c r="H130" s="23">
        <f>E130-G130</f>
        <v>10685.89516</v>
      </c>
      <c r="I130" s="23">
        <f>4160.58083</f>
        <v>4160.5808299999999</v>
      </c>
      <c r="J130" s="243"/>
    </row>
    <row r="131" spans="1:10" ht="13.5" customHeight="1" x14ac:dyDescent="0.25">
      <c r="A131" s="1"/>
      <c r="B131" s="253"/>
      <c r="C131" s="48" t="s">
        <v>63</v>
      </c>
      <c r="D131" s="33">
        <v>500</v>
      </c>
      <c r="E131" s="33">
        <v>500</v>
      </c>
      <c r="F131" s="23">
        <f>2.225</f>
        <v>2.2250000000000001</v>
      </c>
      <c r="G131" s="23">
        <f>65.45015</f>
        <v>65.450149999999994</v>
      </c>
      <c r="H131" s="55">
        <f>E131-G131</f>
        <v>434.54984999999999</v>
      </c>
      <c r="I131" s="23">
        <f>113.92125</f>
        <v>113.92125</v>
      </c>
      <c r="J131" s="243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1.0125</f>
        <v>1.0125</v>
      </c>
      <c r="G132" s="95">
        <f>18.7045+1348.997525</f>
        <v>1367.702025</v>
      </c>
      <c r="H132" s="95">
        <f>E132-G132</f>
        <v>51128.297975000001</v>
      </c>
      <c r="I132" s="95">
        <f>298.16213</f>
        <v>298.16212999999999</v>
      </c>
      <c r="J132" s="116"/>
    </row>
    <row r="133" spans="1:10" ht="15.75" customHeight="1" x14ac:dyDescent="0.25">
      <c r="A133" s="1"/>
      <c r="B133" s="253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930.19646</v>
      </c>
      <c r="G133" s="94">
        <f t="shared" ref="G133" si="14">G134+G139+G142</f>
        <v>39604.670934999995</v>
      </c>
      <c r="H133" s="94">
        <f>H134+H139+H142</f>
        <v>40560.329064999998</v>
      </c>
      <c r="I133" s="94">
        <f>I134+I139+I142</f>
        <v>38579.666290000001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832.00068999999996</v>
      </c>
      <c r="G134" s="125">
        <f>G135+G136+G138+G137</f>
        <v>29586.935494999998</v>
      </c>
      <c r="H134" s="125">
        <f>H135+H136+H137+H138</f>
        <v>29492.064505000002</v>
      </c>
      <c r="I134" s="125">
        <f>I135+I136+I137+I138</f>
        <v>31025.050930000001</v>
      </c>
      <c r="J134" s="279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136.54811</f>
        <v>136.54811000000001</v>
      </c>
      <c r="G135" s="127">
        <v>5555.3442599999998</v>
      </c>
      <c r="H135" s="127">
        <f>E135-G135</f>
        <v>12218.65574</v>
      </c>
      <c r="I135" s="127">
        <f>4575.9611</f>
        <v>4575.9611000000004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194.53331</f>
        <v>194.53331</v>
      </c>
      <c r="G136" s="127">
        <v>9377.079925</v>
      </c>
      <c r="H136" s="127">
        <f>E136-G136</f>
        <v>5561.920075</v>
      </c>
      <c r="I136" s="127">
        <f>9104.74595</f>
        <v>9104.7459500000004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158.98717</f>
        <v>158.98716999999999</v>
      </c>
      <c r="G137" s="127">
        <v>7575.06826</v>
      </c>
      <c r="H137" s="127">
        <f>E137-G137</f>
        <v>5475.93174</v>
      </c>
      <c r="I137" s="127">
        <f>8112.9162</f>
        <v>8112.9161999999997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341.9321</f>
        <v>341.93209999999999</v>
      </c>
      <c r="G138" s="127">
        <v>7079.4430499999999</v>
      </c>
      <c r="H138" s="127">
        <f>E138-G138</f>
        <v>6235.5569500000001</v>
      </c>
      <c r="I138" s="127">
        <f>9231.42768</f>
        <v>9231.4276800000007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4.4724000000000004</v>
      </c>
      <c r="G139" s="132">
        <f>SUM(G140:G141)</f>
        <v>7581.5936799999999</v>
      </c>
      <c r="H139" s="132">
        <f>H140+H141</f>
        <v>1348.4063199999996</v>
      </c>
      <c r="I139" s="132">
        <f>SUM(I140:I141)</f>
        <v>5453.6835499999997</v>
      </c>
      <c r="J139" s="133"/>
    </row>
    <row r="140" spans="1:10" ht="14.1" customHeight="1" x14ac:dyDescent="0.25">
      <c r="A140" s="1"/>
      <c r="B140" s="253"/>
      <c r="C140" s="62" t="s">
        <v>66</v>
      </c>
      <c r="D140" s="63">
        <v>8070</v>
      </c>
      <c r="E140" s="63">
        <v>8430</v>
      </c>
      <c r="F140" s="127">
        <f>0</f>
        <v>0</v>
      </c>
      <c r="G140" s="127">
        <f>7402.76104</f>
        <v>7402.7610400000003</v>
      </c>
      <c r="H140" s="127">
        <f t="shared" ref="H140:H148" si="15">E140-G140</f>
        <v>1027.2389599999997</v>
      </c>
      <c r="I140" s="127">
        <f>5345.92997</f>
        <v>5345.9299700000001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4.4724</f>
        <v>4.4724000000000004</v>
      </c>
      <c r="G141" s="127">
        <f>178.83264</f>
        <v>178.83264</v>
      </c>
      <c r="H141" s="127">
        <f t="shared" si="15"/>
        <v>321.16736000000003</v>
      </c>
      <c r="I141" s="127">
        <f>107.75358</f>
        <v>107.75358</v>
      </c>
      <c r="J141" s="134"/>
    </row>
    <row r="142" spans="1:10" ht="15.75" customHeight="1" x14ac:dyDescent="0.25">
      <c r="A142" s="1"/>
      <c r="B142" s="253"/>
      <c r="C142" s="38" t="s">
        <v>11</v>
      </c>
      <c r="D142" s="61">
        <v>10907</v>
      </c>
      <c r="E142" s="61">
        <v>12156</v>
      </c>
      <c r="F142" s="75">
        <f>93.72337</f>
        <v>93.723370000000003</v>
      </c>
      <c r="G142" s="75">
        <f>2436.14176</f>
        <v>2436.14176</v>
      </c>
      <c r="H142" s="75">
        <f t="shared" si="15"/>
        <v>9719.8582399999996</v>
      </c>
      <c r="I142" s="75">
        <f>2100.93181</f>
        <v>2100.93181</v>
      </c>
      <c r="J142" s="120"/>
    </row>
    <row r="143" spans="1:10" ht="15.75" customHeight="1" x14ac:dyDescent="0.25">
      <c r="A143" s="1"/>
      <c r="B143" s="253"/>
      <c r="C143" s="142" t="s">
        <v>34</v>
      </c>
      <c r="D143" s="143">
        <v>146</v>
      </c>
      <c r="E143" s="143">
        <v>146</v>
      </c>
      <c r="F143" s="139">
        <f>0.0459</f>
        <v>4.5900000000000003E-2</v>
      </c>
      <c r="G143" s="139">
        <f>14.19558</f>
        <v>14.19558</v>
      </c>
      <c r="H143" s="139">
        <f t="shared" si="15"/>
        <v>131.80441999999999</v>
      </c>
      <c r="I143" s="139">
        <f>17.99741</f>
        <v>17.997409999999999</v>
      </c>
      <c r="J143" s="120"/>
    </row>
    <row r="144" spans="1:10" ht="15.75" customHeight="1" x14ac:dyDescent="0.25">
      <c r="A144" s="1"/>
      <c r="B144" s="253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0</f>
        <v>0</v>
      </c>
      <c r="H144" s="98">
        <f t="shared" si="15"/>
        <v>250</v>
      </c>
      <c r="I144" s="98">
        <f>0</f>
        <v>0</v>
      </c>
      <c r="J144" s="120"/>
    </row>
    <row r="145" spans="1:10" ht="18" customHeight="1" x14ac:dyDescent="0.25">
      <c r="A145" s="1"/>
      <c r="B145" s="253"/>
      <c r="C145" s="140" t="s">
        <v>69</v>
      </c>
      <c r="D145" s="143">
        <v>2000</v>
      </c>
      <c r="E145" s="143">
        <v>2000</v>
      </c>
      <c r="F145" s="139">
        <f>5.80789</f>
        <v>5.8078900000000004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3"/>
    </row>
    <row r="146" spans="1:10" ht="15.75" customHeight="1" x14ac:dyDescent="0.25">
      <c r="A146" s="1"/>
      <c r="B146" s="253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3"/>
      <c r="C147" s="142" t="s">
        <v>70</v>
      </c>
      <c r="D147" s="143">
        <v>276</v>
      </c>
      <c r="E147" s="143">
        <v>276</v>
      </c>
      <c r="F147" s="98">
        <f>2.46355</f>
        <v>2.4635500000000001</v>
      </c>
      <c r="G147" s="98">
        <f>25.44488</f>
        <v>25.444880000000001</v>
      </c>
      <c r="H147" s="139">
        <f t="shared" si="15"/>
        <v>250.55511999999999</v>
      </c>
      <c r="I147" s="98">
        <f>19.2221</f>
        <v>19.222100000000001</v>
      </c>
      <c r="J147" s="120"/>
    </row>
    <row r="148" spans="1:10" ht="15" customHeight="1" x14ac:dyDescent="0.25">
      <c r="A148" s="1"/>
      <c r="B148" s="253"/>
      <c r="C148" s="142" t="s">
        <v>39</v>
      </c>
      <c r="D148" s="145"/>
      <c r="E148" s="143"/>
      <c r="F148" s="139">
        <f>0.128</f>
        <v>0.128</v>
      </c>
      <c r="G148" s="139">
        <f>109.94869</f>
        <v>109.94869</v>
      </c>
      <c r="H148" s="139">
        <f t="shared" si="15"/>
        <v>-109.94869</v>
      </c>
      <c r="I148" s="139">
        <f>63.2359</f>
        <v>63.235900000000001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1221.7311500000001</v>
      </c>
      <c r="G150" s="76">
        <f>G128+G132+G133+G143+G144+G145+G146+G147+G148</f>
        <v>73348.843759999989</v>
      </c>
      <c r="H150" s="76">
        <f>H128+H132+H133+H143+H144+H145+H146+H147+H148</f>
        <v>134291.15624000001</v>
      </c>
      <c r="I150" s="76">
        <f>I128+I132+I133+I143+I144+I145+I146+I147+I148</f>
        <v>69787.20517999999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136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25">
      <c r="A153" s="156"/>
      <c r="B153" s="52"/>
      <c r="C153" s="161" t="s">
        <v>151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25">
      <c r="A154" s="156"/>
      <c r="B154" s="52"/>
      <c r="C154" s="77" t="s">
        <v>145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25">
      <c r="A156" s="156"/>
      <c r="B156" s="52"/>
      <c r="C156" s="77" t="s">
        <v>137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29.2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116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116</v>
      </c>
      <c r="B165" s="253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" customHeight="1" x14ac:dyDescent="0.25">
      <c r="A166" s="1"/>
      <c r="B166" s="253"/>
      <c r="C166" s="177" t="s">
        <v>6</v>
      </c>
      <c r="D166" s="189">
        <v>10823</v>
      </c>
      <c r="E166" s="280"/>
      <c r="F166" s="280"/>
      <c r="G166" s="280"/>
      <c r="H166" s="1"/>
      <c r="I166" s="1"/>
      <c r="J166" s="120"/>
    </row>
    <row r="167" spans="1:10" ht="14.1" customHeight="1" x14ac:dyDescent="0.25">
      <c r="A167" s="1"/>
      <c r="B167" s="253"/>
      <c r="C167" s="177" t="s">
        <v>9</v>
      </c>
      <c r="D167" s="189">
        <f>8888 + 750</f>
        <v>9638</v>
      </c>
      <c r="E167" s="280"/>
      <c r="F167" s="280"/>
      <c r="G167" s="234"/>
      <c r="H167" s="1"/>
      <c r="I167" s="1"/>
      <c r="J167" s="120"/>
    </row>
    <row r="168" spans="1:10" ht="14.1" customHeight="1" x14ac:dyDescent="0.25">
      <c r="A168" s="1"/>
      <c r="B168" s="253"/>
      <c r="C168" s="177" t="s">
        <v>74</v>
      </c>
      <c r="D168" s="189">
        <v>790</v>
      </c>
      <c r="E168" s="280"/>
      <c r="F168" s="280"/>
      <c r="G168" s="280"/>
      <c r="H168" s="1"/>
      <c r="I168" s="1"/>
      <c r="J168" s="120"/>
    </row>
    <row r="169" spans="1:10" ht="14.1" customHeight="1" x14ac:dyDescent="0.25">
      <c r="A169" s="1"/>
      <c r="B169" s="253"/>
      <c r="C169" s="177" t="s">
        <v>49</v>
      </c>
      <c r="D169" s="189">
        <f>SUM(D166:D168)</f>
        <v>21251</v>
      </c>
      <c r="E169" s="280"/>
      <c r="F169" s="280"/>
      <c r="G169" s="280"/>
      <c r="H169" s="1"/>
      <c r="I169" s="1"/>
      <c r="J169" s="120"/>
    </row>
    <row r="170" spans="1:10" ht="14.1" customHeight="1" x14ac:dyDescent="0.25">
      <c r="A170" s="1"/>
      <c r="B170" s="253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25">
      <c r="A171" s="1"/>
      <c r="B171" s="240"/>
      <c r="C171" s="159"/>
      <c r="D171" s="159"/>
      <c r="E171" s="266"/>
      <c r="F171" s="266"/>
      <c r="G171" s="266"/>
      <c r="H171" s="232"/>
      <c r="I171" s="232"/>
      <c r="J171" s="244"/>
    </row>
    <row r="172" spans="1:10" ht="24.75" customHeight="1" x14ac:dyDescent="0.25">
      <c r="A172" s="1"/>
      <c r="B172" s="253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147</v>
      </c>
      <c r="F174" s="15" t="s">
        <v>148</v>
      </c>
      <c r="G174" s="54" t="s">
        <v>149</v>
      </c>
      <c r="H174" s="15" t="s">
        <v>150</v>
      </c>
      <c r="I174" s="156"/>
      <c r="J174" s="279"/>
    </row>
    <row r="175" spans="1:10" ht="14.1" customHeight="1" x14ac:dyDescent="0.25">
      <c r="A175" s="1"/>
      <c r="B175" s="253"/>
      <c r="C175" s="141" t="s">
        <v>75</v>
      </c>
      <c r="D175" s="94">
        <v>4223</v>
      </c>
      <c r="E175" s="275">
        <f>10.09925</f>
        <v>10.09925</v>
      </c>
      <c r="F175" s="275">
        <f>327.67486</f>
        <v>327.67486000000002</v>
      </c>
      <c r="G175" s="43">
        <f>D175-F175-F176</f>
        <v>3629.9395599999998</v>
      </c>
      <c r="H175" s="275">
        <f>556.97719</f>
        <v>556.97718999999995</v>
      </c>
      <c r="I175" s="1"/>
      <c r="J175" s="120"/>
    </row>
    <row r="176" spans="1:10" ht="14.1" customHeight="1" x14ac:dyDescent="0.25">
      <c r="A176" s="1"/>
      <c r="B176" s="253"/>
      <c r="C176" s="137" t="s">
        <v>53</v>
      </c>
      <c r="D176" s="181"/>
      <c r="E176" s="152">
        <f>0</f>
        <v>0</v>
      </c>
      <c r="F176" s="152">
        <f>265.38558</f>
        <v>265.38558</v>
      </c>
      <c r="G176" s="216"/>
      <c r="H176" s="152">
        <f>204.10482</f>
        <v>204.10481999999999</v>
      </c>
      <c r="I176" s="1"/>
      <c r="J176" s="120"/>
    </row>
    <row r="177" spans="1:10" ht="15.6" customHeight="1" x14ac:dyDescent="0.25">
      <c r="A177" s="1"/>
      <c r="B177" s="253"/>
      <c r="C177" s="169" t="s">
        <v>76</v>
      </c>
      <c r="D177" s="98">
        <v>200</v>
      </c>
      <c r="E177" s="172">
        <f>0.01584</f>
        <v>1.584E-2</v>
      </c>
      <c r="F177" s="172">
        <f>24.50222</f>
        <v>24.502220000000001</v>
      </c>
      <c r="G177" s="172">
        <f>D177-F177</f>
        <v>175.49778000000001</v>
      </c>
      <c r="H177" s="172">
        <f>32.37132</f>
        <v>32.371319999999997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5.7508600000000003</v>
      </c>
      <c r="F178" s="181">
        <f>F179+F180+F181</f>
        <v>46.816109999999995</v>
      </c>
      <c r="G178" s="181">
        <f>D178-F178</f>
        <v>6287.1838900000002</v>
      </c>
      <c r="H178" s="181">
        <f>H179+H180+H181</f>
        <v>20.120280000000001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5.26084</f>
        <v>5.26084</v>
      </c>
      <c r="F179" s="127">
        <f>26.52485</f>
        <v>26.524850000000001</v>
      </c>
      <c r="G179" s="127"/>
      <c r="H179" s="127">
        <f>5.90914</f>
        <v>5.9091399999999998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0.38882</f>
        <v>0.38882</v>
      </c>
      <c r="F180" s="127">
        <f>11.78858</f>
        <v>11.78858</v>
      </c>
      <c r="G180" s="127"/>
      <c r="H180" s="127">
        <f>13.10702</f>
        <v>13.10702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0.1012</f>
        <v>0.1012</v>
      </c>
      <c r="F181" s="192">
        <f>8.50268</f>
        <v>8.5026799999999998</v>
      </c>
      <c r="G181" s="192"/>
      <c r="H181" s="192">
        <f>1.10412</f>
        <v>1.10412</v>
      </c>
      <c r="I181" s="186"/>
      <c r="J181" s="187"/>
    </row>
    <row r="182" spans="1:10" ht="14.1" customHeight="1" x14ac:dyDescent="0.25">
      <c r="A182" s="1"/>
      <c r="B182" s="253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3"/>
    </row>
    <row r="183" spans="1:10" ht="16.5" customHeight="1" x14ac:dyDescent="0.25">
      <c r="A183" s="1"/>
      <c r="B183" s="253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3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15.865950000000002</v>
      </c>
      <c r="F184" s="194">
        <f>F175+F176+F177+F178+F182+F183</f>
        <v>664.37876999999992</v>
      </c>
      <c r="G184" s="194">
        <f>D184-F184</f>
        <v>10158.621230000001</v>
      </c>
      <c r="H184" s="194">
        <f>H175+H176+H177+H178+H182+H183</f>
        <v>813.57360999999992</v>
      </c>
      <c r="I184" s="163"/>
      <c r="J184" s="160"/>
    </row>
    <row r="185" spans="1:10" ht="42" customHeight="1" x14ac:dyDescent="0.25">
      <c r="A185" s="1"/>
      <c r="B185" s="198"/>
      <c r="C185" s="226" t="s">
        <v>118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2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4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116</v>
      </c>
      <c r="B190" s="1"/>
      <c r="C190" s="214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5"/>
      <c r="D191" s="236"/>
      <c r="E191" s="236"/>
      <c r="F191" s="236"/>
      <c r="G191" s="236"/>
      <c r="H191" s="154"/>
      <c r="I191" s="154"/>
      <c r="J191" s="162"/>
    </row>
    <row r="192" spans="1:10" ht="15" customHeight="1" x14ac:dyDescent="0.25">
      <c r="A192" s="150"/>
      <c r="B192" s="253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3"/>
      <c r="C193" s="258" t="s">
        <v>84</v>
      </c>
      <c r="D193" s="269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3"/>
      <c r="C194" s="247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3"/>
      <c r="C195" s="247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3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3"/>
      <c r="C197" s="101" t="s">
        <v>124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3"/>
      <c r="C198" s="101" t="s">
        <v>125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3"/>
      <c r="C199" s="101" t="s">
        <v>128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0"/>
      <c r="C200" s="266"/>
      <c r="D200" s="159"/>
      <c r="E200" s="159"/>
      <c r="F200" s="266"/>
      <c r="G200" s="266"/>
      <c r="H200" s="266"/>
      <c r="I200" s="232"/>
      <c r="J200" s="244"/>
    </row>
    <row r="201" spans="1:10" ht="23.25" customHeight="1" x14ac:dyDescent="0.25">
      <c r="A201" s="1"/>
      <c r="B201" s="253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3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3"/>
      <c r="C203" s="68" t="s">
        <v>16</v>
      </c>
      <c r="D203" s="79" t="s">
        <v>2</v>
      </c>
      <c r="E203" s="68" t="s">
        <v>147</v>
      </c>
      <c r="F203" s="68" t="s">
        <v>148</v>
      </c>
      <c r="G203" s="68" t="s">
        <v>149</v>
      </c>
      <c r="H203" s="68" t="s">
        <v>150</v>
      </c>
      <c r="I203" s="1"/>
      <c r="J203" s="120"/>
    </row>
    <row r="204" spans="1:10" ht="15" customHeight="1" x14ac:dyDescent="0.25">
      <c r="A204" s="1"/>
      <c r="B204" s="253"/>
      <c r="C204" s="90" t="s">
        <v>4</v>
      </c>
      <c r="D204" s="124">
        <v>46282</v>
      </c>
      <c r="E204" s="124">
        <f>34.56278</f>
        <v>34.562779999999997</v>
      </c>
      <c r="F204" s="124">
        <f>13075.81947</f>
        <v>13075.81947</v>
      </c>
      <c r="G204" s="124">
        <f>D204-F204</f>
        <v>33206.180529999998</v>
      </c>
      <c r="H204" s="124">
        <f>7740.29875</f>
        <v>7740.2987499999999</v>
      </c>
      <c r="I204" s="247"/>
      <c r="J204" s="120"/>
    </row>
    <row r="205" spans="1:10" ht="15" customHeight="1" x14ac:dyDescent="0.25">
      <c r="A205" s="1"/>
      <c r="B205" s="253"/>
      <c r="C205" s="90" t="s">
        <v>67</v>
      </c>
      <c r="D205" s="124">
        <v>100</v>
      </c>
      <c r="E205" s="124">
        <f>0.13</f>
        <v>0.13</v>
      </c>
      <c r="F205" s="124">
        <f>1.71905</f>
        <v>1.71905</v>
      </c>
      <c r="G205" s="124">
        <f>D205-F205</f>
        <v>98.280950000000004</v>
      </c>
      <c r="H205" s="124">
        <f>0.86224</f>
        <v>0.86224000000000001</v>
      </c>
      <c r="I205" s="247"/>
      <c r="J205" s="120"/>
    </row>
    <row r="206" spans="1:10" ht="15.75" customHeight="1" x14ac:dyDescent="0.25">
      <c r="A206" s="1"/>
      <c r="B206" s="253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7"/>
      <c r="J206" s="120"/>
    </row>
    <row r="207" spans="1:10" ht="16.5" customHeight="1" x14ac:dyDescent="0.25">
      <c r="A207" s="1"/>
      <c r="B207" s="253"/>
      <c r="C207" s="179" t="s">
        <v>87</v>
      </c>
      <c r="D207" s="190">
        <f>SUM(D204:D206)</f>
        <v>46418</v>
      </c>
      <c r="E207" s="190">
        <f>SUM(E204:E206)</f>
        <v>34.692779999999999</v>
      </c>
      <c r="F207" s="190">
        <f>SUM(F204:F206)</f>
        <v>13077.53852</v>
      </c>
      <c r="G207" s="190">
        <f>D207-F207</f>
        <v>33340.461479999998</v>
      </c>
      <c r="H207" s="190">
        <f>SUM(H204:H206)</f>
        <v>7741.1609900000003</v>
      </c>
      <c r="I207" s="247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5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35">
      <c r="A243" s="150"/>
      <c r="B243" s="1"/>
      <c r="C243" s="214" t="s">
        <v>119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116</v>
      </c>
      <c r="B244" s="1"/>
      <c r="C244" s="214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5"/>
      <c r="D245" s="236"/>
      <c r="E245" s="236"/>
      <c r="F245" s="236"/>
      <c r="G245" s="236"/>
      <c r="H245" s="154"/>
      <c r="I245" s="154"/>
      <c r="J245" s="162"/>
    </row>
    <row r="246" spans="1:10" ht="23.25" customHeight="1" x14ac:dyDescent="0.25">
      <c r="A246" s="1"/>
      <c r="B246" s="253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3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3"/>
      <c r="C248" s="68" t="s">
        <v>16</v>
      </c>
      <c r="D248" s="79" t="s">
        <v>2</v>
      </c>
      <c r="E248" s="68" t="s">
        <v>147</v>
      </c>
      <c r="F248" s="68" t="s">
        <v>148</v>
      </c>
      <c r="G248" s="68" t="s">
        <v>149</v>
      </c>
      <c r="H248" s="68" t="s">
        <v>150</v>
      </c>
      <c r="I248" s="1"/>
      <c r="J248" s="120"/>
    </row>
    <row r="249" spans="1:10" ht="15" customHeight="1" x14ac:dyDescent="0.25">
      <c r="A249" s="1"/>
      <c r="B249" s="253"/>
      <c r="C249" s="90" t="s">
        <v>126</v>
      </c>
      <c r="D249" s="124">
        <v>3987</v>
      </c>
      <c r="E249" s="75">
        <f>E250+E251</f>
        <v>64.450580000000002</v>
      </c>
      <c r="F249" s="75">
        <f>F250+F251</f>
        <v>1926.16913</v>
      </c>
      <c r="G249" s="75">
        <f>D249-F249</f>
        <v>2060.8308699999998</v>
      </c>
      <c r="H249" s="75">
        <f>H250+H251</f>
        <v>1174.75875</v>
      </c>
      <c r="I249" s="247"/>
      <c r="J249" s="120"/>
    </row>
    <row r="250" spans="1:10" ht="15" customHeight="1" x14ac:dyDescent="0.25">
      <c r="A250" s="1"/>
      <c r="B250" s="253"/>
      <c r="C250" s="177" t="s">
        <v>8</v>
      </c>
      <c r="D250" s="124"/>
      <c r="E250" s="75">
        <f>46.9046</f>
        <v>46.904600000000002</v>
      </c>
      <c r="F250" s="75">
        <f>1516.11801</f>
        <v>1516.1180099999999</v>
      </c>
      <c r="G250" s="75"/>
      <c r="H250" s="75">
        <f>865.50396</f>
        <v>865.50396000000001</v>
      </c>
      <c r="I250" s="247"/>
      <c r="J250" s="120"/>
    </row>
    <row r="251" spans="1:10" ht="15" customHeight="1" x14ac:dyDescent="0.25">
      <c r="A251" s="1"/>
      <c r="B251" s="253"/>
      <c r="C251" s="177" t="s">
        <v>67</v>
      </c>
      <c r="D251" s="124"/>
      <c r="E251" s="124">
        <f>17.54598</f>
        <v>17.54598</v>
      </c>
      <c r="F251" s="124">
        <f>410.05112</f>
        <v>410.05112000000003</v>
      </c>
      <c r="G251" s="168"/>
      <c r="H251" s="124">
        <f>309.25479</f>
        <v>309.25479000000001</v>
      </c>
      <c r="I251" s="247"/>
      <c r="J251" s="120"/>
    </row>
    <row r="252" spans="1:10" ht="15" customHeight="1" x14ac:dyDescent="0.25">
      <c r="A252" s="1"/>
      <c r="B252" s="253"/>
      <c r="C252" s="90" t="s">
        <v>127</v>
      </c>
      <c r="D252" s="124">
        <v>4613</v>
      </c>
      <c r="E252" s="75">
        <f>260.7964</f>
        <v>260.79640000000001</v>
      </c>
      <c r="F252" s="75">
        <f>2160.63363</f>
        <v>2160.6336299999998</v>
      </c>
      <c r="G252" s="75">
        <f>D252-F252</f>
        <v>2452.3663700000002</v>
      </c>
      <c r="H252" s="75">
        <f>1963.48055</f>
        <v>1963.48055</v>
      </c>
      <c r="I252" s="247"/>
      <c r="J252" s="120"/>
    </row>
    <row r="253" spans="1:10" ht="16.5" customHeight="1" x14ac:dyDescent="0.25">
      <c r="A253" s="1"/>
      <c r="B253" s="253"/>
      <c r="C253" s="179" t="s">
        <v>87</v>
      </c>
      <c r="D253" s="190">
        <f>D252+D249</f>
        <v>8600</v>
      </c>
      <c r="E253" s="190">
        <f>SUM(E249:E252)</f>
        <v>389.69756000000001</v>
      </c>
      <c r="F253" s="190">
        <f>SUM(F249:F252)</f>
        <v>6012.9718899999998</v>
      </c>
      <c r="G253" s="190">
        <f>D253-F253</f>
        <v>2587.0281100000002</v>
      </c>
      <c r="H253" s="190">
        <f>SUM(H249:H252)</f>
        <v>4312.9980500000001</v>
      </c>
      <c r="I253" s="247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5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35">
      <c r="A289" s="150"/>
      <c r="B289" s="1"/>
      <c r="C289" s="214" t="s">
        <v>120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116</v>
      </c>
      <c r="B290" s="1"/>
      <c r="C290" s="214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5"/>
      <c r="D291" s="236"/>
      <c r="E291" s="236"/>
      <c r="F291" s="236"/>
      <c r="G291" s="236"/>
      <c r="H291" s="154"/>
      <c r="I291" s="154"/>
      <c r="J291" s="162"/>
    </row>
    <row r="292" spans="1:10" ht="23.25" customHeight="1" x14ac:dyDescent="0.25">
      <c r="A292" s="1"/>
      <c r="B292" s="253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3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3"/>
      <c r="C294" s="68" t="s">
        <v>16</v>
      </c>
      <c r="D294" s="79" t="s">
        <v>2</v>
      </c>
      <c r="E294" s="68" t="s">
        <v>147</v>
      </c>
      <c r="F294" s="68" t="s">
        <v>148</v>
      </c>
      <c r="G294" s="68" t="s">
        <v>149</v>
      </c>
      <c r="H294" s="68" t="s">
        <v>150</v>
      </c>
      <c r="I294" s="1"/>
      <c r="J294" s="120"/>
    </row>
    <row r="295" spans="1:10" ht="15" customHeight="1" x14ac:dyDescent="0.25">
      <c r="A295" s="1"/>
      <c r="B295" s="253"/>
      <c r="C295" s="90" t="s">
        <v>126</v>
      </c>
      <c r="D295" s="124">
        <v>5090</v>
      </c>
      <c r="E295" s="75">
        <f>E296+E297</f>
        <v>9.3523399999999999</v>
      </c>
      <c r="F295" s="75">
        <f>F296+F297</f>
        <v>1472.81448</v>
      </c>
      <c r="G295" s="75">
        <f>D295-F295</f>
        <v>3617.18552</v>
      </c>
      <c r="H295" s="75">
        <f>H296+H297</f>
        <v>789.62563999999998</v>
      </c>
      <c r="I295" s="247"/>
      <c r="J295" s="120"/>
    </row>
    <row r="296" spans="1:10" ht="15" customHeight="1" x14ac:dyDescent="0.25">
      <c r="A296" s="1"/>
      <c r="B296" s="253"/>
      <c r="C296" s="177" t="s">
        <v>8</v>
      </c>
      <c r="D296" s="124"/>
      <c r="E296" s="75">
        <f>1.1952</f>
        <v>1.1952</v>
      </c>
      <c r="F296" s="75">
        <f>1192.958</f>
        <v>1192.9580000000001</v>
      </c>
      <c r="G296" s="75"/>
      <c r="H296" s="75">
        <f>591.27962</f>
        <v>591.27962000000002</v>
      </c>
      <c r="I296" s="247"/>
      <c r="J296" s="120"/>
    </row>
    <row r="297" spans="1:10" ht="15" customHeight="1" x14ac:dyDescent="0.25">
      <c r="A297" s="1"/>
      <c r="B297" s="253"/>
      <c r="C297" s="177" t="s">
        <v>67</v>
      </c>
      <c r="D297" s="124"/>
      <c r="E297" s="124">
        <f>8.15714</f>
        <v>8.1571400000000001</v>
      </c>
      <c r="F297" s="124">
        <f>279.85648</f>
        <v>279.85647999999998</v>
      </c>
      <c r="G297" s="168"/>
      <c r="H297" s="124">
        <f>198.34602</f>
        <v>198.34602000000001</v>
      </c>
      <c r="I297" s="247"/>
      <c r="J297" s="120"/>
    </row>
    <row r="298" spans="1:10" ht="15" customHeight="1" x14ac:dyDescent="0.25">
      <c r="A298" s="1"/>
      <c r="B298" s="253"/>
      <c r="C298" s="90" t="s">
        <v>127</v>
      </c>
      <c r="D298" s="124">
        <v>2981</v>
      </c>
      <c r="E298" s="75">
        <f>84.70146</f>
        <v>84.701459999999997</v>
      </c>
      <c r="F298" s="75">
        <f>1240.1567</f>
        <v>1240.1567</v>
      </c>
      <c r="G298" s="75">
        <f>D298-F298</f>
        <v>1740.8433</v>
      </c>
      <c r="H298" s="75">
        <f>983.10672</f>
        <v>983.10672</v>
      </c>
      <c r="I298" s="247"/>
      <c r="J298" s="120"/>
    </row>
    <row r="299" spans="1:10" ht="16.5" customHeight="1" x14ac:dyDescent="0.25">
      <c r="A299" s="1"/>
      <c r="B299" s="253"/>
      <c r="C299" s="179" t="s">
        <v>87</v>
      </c>
      <c r="D299" s="190">
        <f>D298+D295</f>
        <v>8071</v>
      </c>
      <c r="E299" s="190">
        <f>SUM(E295:E298)</f>
        <v>103.40613999999999</v>
      </c>
      <c r="F299" s="190">
        <f>SUM(F295:F298)</f>
        <v>4185.7856599999996</v>
      </c>
      <c r="G299" s="190">
        <f>D299-F299</f>
        <v>3885.2143400000004</v>
      </c>
      <c r="H299" s="190">
        <f>SUM(H295:H298)</f>
        <v>2562.3580000000002</v>
      </c>
      <c r="I299" s="247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5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2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25">
      <c r="A336" s="217" t="s">
        <v>116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3"/>
      <c r="C339" s="258" t="s">
        <v>84</v>
      </c>
      <c r="D339" s="269">
        <v>3851</v>
      </c>
      <c r="E339" s="150"/>
      <c r="F339" s="224"/>
      <c r="G339" s="1"/>
      <c r="H339" s="1"/>
      <c r="I339" s="1"/>
      <c r="J339" s="120"/>
    </row>
    <row r="340" spans="1:10" ht="14.1" customHeight="1" x14ac:dyDescent="0.25">
      <c r="A340" s="1"/>
      <c r="B340" s="253"/>
      <c r="C340" s="247" t="s">
        <v>90</v>
      </c>
      <c r="D340" s="46">
        <v>11613</v>
      </c>
      <c r="E340" s="150"/>
      <c r="F340" s="224"/>
      <c r="G340" s="1"/>
      <c r="H340" s="1"/>
      <c r="I340" s="1"/>
      <c r="J340" s="120"/>
    </row>
    <row r="341" spans="1:10" ht="14.1" customHeight="1" x14ac:dyDescent="0.25">
      <c r="A341" s="1"/>
      <c r="B341" s="253"/>
      <c r="C341" s="247" t="s">
        <v>91</v>
      </c>
      <c r="D341" s="46">
        <v>9054</v>
      </c>
      <c r="E341" s="150"/>
      <c r="F341" s="224"/>
      <c r="G341" s="1"/>
      <c r="H341" s="1"/>
      <c r="I341" s="1"/>
      <c r="J341" s="120"/>
    </row>
    <row r="342" spans="1:10" ht="13.5" customHeight="1" x14ac:dyDescent="0.25">
      <c r="A342" s="1"/>
      <c r="B342" s="253"/>
      <c r="C342" s="247" t="s">
        <v>129</v>
      </c>
      <c r="D342" s="46">
        <v>382</v>
      </c>
      <c r="E342" s="150"/>
      <c r="F342" s="224"/>
      <c r="G342" s="1"/>
      <c r="H342" s="1"/>
      <c r="I342" s="1"/>
      <c r="J342" s="120"/>
    </row>
    <row r="343" spans="1:10" ht="14.25" customHeight="1" x14ac:dyDescent="0.25">
      <c r="A343" s="1"/>
      <c r="B343" s="253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3"/>
      <c r="C344" s="227" t="s">
        <v>92</v>
      </c>
      <c r="D344" s="228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3"/>
      <c r="C345" s="101" t="s">
        <v>102</v>
      </c>
      <c r="D345" s="229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3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" customHeight="1" x14ac:dyDescent="0.25">
      <c r="A348" s="1"/>
      <c r="B348" s="239"/>
      <c r="C348" s="241"/>
      <c r="D348" s="241"/>
      <c r="E348" s="241"/>
      <c r="F348" s="241"/>
      <c r="G348" s="241"/>
      <c r="H348" s="241"/>
      <c r="I348" s="241"/>
      <c r="J348" s="120"/>
    </row>
    <row r="349" spans="1:10" ht="54" customHeight="1" x14ac:dyDescent="0.25">
      <c r="A349" s="1"/>
      <c r="B349" s="253"/>
      <c r="C349" s="68" t="s">
        <v>16</v>
      </c>
      <c r="D349" s="242" t="s">
        <v>2</v>
      </c>
      <c r="E349" s="68" t="s">
        <v>147</v>
      </c>
      <c r="F349" s="68" t="s">
        <v>148</v>
      </c>
      <c r="G349" s="68" t="s">
        <v>149</v>
      </c>
      <c r="H349" s="68" t="s">
        <v>150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6.93982</f>
        <v>6.9398200000000001</v>
      </c>
      <c r="F350" s="124">
        <f>176.38656</f>
        <v>176.38656</v>
      </c>
      <c r="G350" s="124">
        <f>D350-F350</f>
        <v>623.61343999999997</v>
      </c>
      <c r="H350" s="124">
        <f>118.34679</f>
        <v>118.34679</v>
      </c>
      <c r="I350" s="67"/>
      <c r="J350" s="243"/>
    </row>
    <row r="351" spans="1:10" ht="14.1" customHeight="1" x14ac:dyDescent="0.25">
      <c r="A351" s="1"/>
      <c r="B351" s="253"/>
      <c r="C351" s="90" t="s">
        <v>94</v>
      </c>
      <c r="D351" s="245">
        <v>3041</v>
      </c>
      <c r="E351" s="124">
        <f>12.28167</f>
        <v>12.28167</v>
      </c>
      <c r="F351" s="124">
        <f>384.51306</f>
        <v>384.51306</v>
      </c>
      <c r="G351" s="124">
        <f>D351-F351</f>
        <v>2656.4869399999998</v>
      </c>
      <c r="H351" s="124">
        <f>430.07372</f>
        <v>430.07371999999998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5">
        <v>10</v>
      </c>
      <c r="E352" s="168">
        <f>0</f>
        <v>0</v>
      </c>
      <c r="F352" s="168">
        <f>0.61006</f>
        <v>0.61006000000000005</v>
      </c>
      <c r="G352" s="124">
        <f>D352-F352</f>
        <v>9.3899399999999993</v>
      </c>
      <c r="H352" s="168">
        <f>0.09004</f>
        <v>9.0039999999999995E-2</v>
      </c>
      <c r="I352" s="67"/>
      <c r="J352" s="248"/>
    </row>
    <row r="353" spans="1:10" ht="18.75" customHeight="1" x14ac:dyDescent="0.25">
      <c r="A353" s="67"/>
      <c r="B353" s="249"/>
      <c r="C353" s="146" t="s">
        <v>95</v>
      </c>
      <c r="D353" s="221"/>
      <c r="E353" s="168">
        <f>0</f>
        <v>0</v>
      </c>
      <c r="F353" s="168">
        <f>0.047</f>
        <v>4.7E-2</v>
      </c>
      <c r="G353" s="124">
        <f>D353-F353</f>
        <v>-4.7E-2</v>
      </c>
      <c r="H353" s="168">
        <f>0.19022</f>
        <v>0.19022</v>
      </c>
      <c r="I353" s="283"/>
      <c r="J353" s="120"/>
    </row>
    <row r="354" spans="1:10" ht="14.1" customHeight="1" x14ac:dyDescent="0.25">
      <c r="A354" s="1"/>
      <c r="B354" s="253"/>
      <c r="C354" s="179" t="s">
        <v>87</v>
      </c>
      <c r="D354" s="6">
        <f>D339</f>
        <v>3851</v>
      </c>
      <c r="E354" s="190">
        <f>SUM(E350:E353)</f>
        <v>19.221489999999999</v>
      </c>
      <c r="F354" s="190">
        <f>SUM(F350:F353)</f>
        <v>561.55668000000003</v>
      </c>
      <c r="G354" s="190">
        <f>D354-F354</f>
        <v>3289.4433199999999</v>
      </c>
      <c r="H354" s="190">
        <f>H350+H351+H352+H353</f>
        <v>548.70076999999992</v>
      </c>
      <c r="I354" s="1"/>
      <c r="J354" s="120"/>
    </row>
    <row r="355" spans="1:10" ht="14.1" customHeight="1" x14ac:dyDescent="0.25">
      <c r="A355" s="1"/>
      <c r="B355" s="253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116</v>
      </c>
    </row>
    <row r="358" spans="1:10" ht="14.1" customHeight="1" x14ac:dyDescent="0.25">
      <c r="A358" s="1" t="s">
        <v>116</v>
      </c>
    </row>
    <row r="359" spans="1:10" ht="14.1" customHeight="1" x14ac:dyDescent="0.25">
      <c r="A359" s="1" t="s">
        <v>116</v>
      </c>
    </row>
    <row r="360" spans="1:10" ht="14.1" customHeight="1" x14ac:dyDescent="0.25">
      <c r="A360" s="1"/>
      <c r="C360" s="150" t="s">
        <v>116</v>
      </c>
    </row>
    <row r="361" spans="1:10" x14ac:dyDescent="0.25">
      <c r="A361" s="1"/>
      <c r="C361" s="150" t="s">
        <v>116</v>
      </c>
    </row>
    <row r="362" spans="1:10" ht="14.1" customHeight="1" x14ac:dyDescent="0.25">
      <c r="A362" s="1"/>
      <c r="C362" s="150" t="s">
        <v>116</v>
      </c>
    </row>
    <row r="363" spans="1:10" ht="14.1" customHeight="1" x14ac:dyDescent="0.25">
      <c r="A363" s="1"/>
      <c r="C363" s="150" t="s">
        <v>116</v>
      </c>
    </row>
    <row r="364" spans="1:10" ht="30" customHeight="1" x14ac:dyDescent="0.35">
      <c r="A364" s="217"/>
      <c r="B364" s="1"/>
      <c r="C364" s="214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8"/>
      <c r="D365" s="238"/>
      <c r="E365" s="238"/>
      <c r="F365" s="238"/>
      <c r="G365" s="238"/>
      <c r="H365" s="238"/>
      <c r="I365" s="238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8" t="s">
        <v>84</v>
      </c>
      <c r="D368" s="269">
        <v>35008</v>
      </c>
      <c r="E368" s="251" t="s">
        <v>4</v>
      </c>
      <c r="F368" s="103">
        <v>21508</v>
      </c>
      <c r="G368" s="247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7" t="s">
        <v>91</v>
      </c>
      <c r="D369" s="46">
        <v>23995</v>
      </c>
      <c r="E369" s="178" t="s">
        <v>94</v>
      </c>
      <c r="F369" s="47">
        <v>8000</v>
      </c>
      <c r="G369" s="247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7" t="s">
        <v>90</v>
      </c>
      <c r="D370" s="46">
        <v>8105</v>
      </c>
      <c r="E370" s="178" t="s">
        <v>59</v>
      </c>
      <c r="F370" s="47">
        <v>5500</v>
      </c>
      <c r="G370" s="247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7"/>
      <c r="D371" s="46"/>
      <c r="E371" s="131"/>
      <c r="F371" s="144"/>
      <c r="G371" s="247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140</v>
      </c>
      <c r="D373" s="178"/>
      <c r="E373" s="178"/>
      <c r="F373" s="178"/>
      <c r="G373" s="1"/>
      <c r="H373" s="178"/>
      <c r="I373" s="178"/>
      <c r="J373" s="243"/>
    </row>
    <row r="374" spans="1:10" ht="13.35" customHeight="1" x14ac:dyDescent="0.25">
      <c r="B374" s="72"/>
      <c r="C374" s="212" t="s">
        <v>141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25">
      <c r="B378" s="198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25">
      <c r="B379" s="72"/>
      <c r="C379" s="222" t="s">
        <v>16</v>
      </c>
      <c r="D379" s="231" t="s">
        <v>17</v>
      </c>
      <c r="E379" s="68" t="s">
        <v>103</v>
      </c>
      <c r="F379" s="222" t="s">
        <v>147</v>
      </c>
      <c r="G379" s="222" t="s">
        <v>148</v>
      </c>
      <c r="H379" s="222" t="s">
        <v>149</v>
      </c>
      <c r="I379" s="222" t="s">
        <v>150</v>
      </c>
      <c r="J379" s="130"/>
    </row>
    <row r="380" spans="1:10" ht="14.1" customHeight="1" x14ac:dyDescent="0.25">
      <c r="A380" s="217"/>
      <c r="B380" s="72"/>
      <c r="C380" s="246" t="s">
        <v>19</v>
      </c>
      <c r="D380" s="250">
        <f t="shared" ref="D380:I380" si="17">D384+D383+D382+D381</f>
        <v>21508</v>
      </c>
      <c r="E380" s="250">
        <v>22969</v>
      </c>
      <c r="F380" s="252">
        <f t="shared" si="17"/>
        <v>52.95055</v>
      </c>
      <c r="G380" s="252">
        <f t="shared" si="17"/>
        <v>4493.2640200000005</v>
      </c>
      <c r="H380" s="252">
        <f>H384+H383+H382+H381</f>
        <v>18475.735979999998</v>
      </c>
      <c r="I380" s="252">
        <f t="shared" si="17"/>
        <v>3087.9980800000003</v>
      </c>
      <c r="J380" s="130"/>
    </row>
    <row r="381" spans="1:10" ht="14.1" customHeight="1" x14ac:dyDescent="0.25">
      <c r="A381" s="217"/>
      <c r="B381" s="72"/>
      <c r="C381" s="254" t="s">
        <v>104</v>
      </c>
      <c r="D381" s="255">
        <v>12051</v>
      </c>
      <c r="E381" s="255">
        <v>13190</v>
      </c>
      <c r="F381" s="256">
        <f>8.10675</f>
        <v>8.1067499999999999</v>
      </c>
      <c r="G381" s="256">
        <f>3282.56721</f>
        <v>3282.5672100000002</v>
      </c>
      <c r="H381" s="256">
        <f t="shared" ref="H381:H385" si="18">E381-G381</f>
        <v>9907.4327899999989</v>
      </c>
      <c r="I381" s="256">
        <f>1618.56418</f>
        <v>1618.5641800000001</v>
      </c>
      <c r="J381" s="130"/>
    </row>
    <row r="382" spans="1:10" ht="14.1" customHeight="1" x14ac:dyDescent="0.25">
      <c r="A382" s="217"/>
      <c r="B382" s="72"/>
      <c r="C382" s="259" t="s">
        <v>21</v>
      </c>
      <c r="D382" s="255">
        <v>3136</v>
      </c>
      <c r="E382" s="255">
        <v>3433</v>
      </c>
      <c r="F382" s="256">
        <f>0</f>
        <v>0</v>
      </c>
      <c r="G382" s="256">
        <f>411.9444</f>
        <v>411.94439999999997</v>
      </c>
      <c r="H382" s="256">
        <f t="shared" si="18"/>
        <v>3021.0556000000001</v>
      </c>
      <c r="I382" s="256">
        <f>566.163</f>
        <v>566.16300000000001</v>
      </c>
      <c r="J382" s="130"/>
    </row>
    <row r="383" spans="1:10" ht="14.1" customHeight="1" x14ac:dyDescent="0.25">
      <c r="A383" s="217"/>
      <c r="B383" s="72"/>
      <c r="C383" s="259" t="s">
        <v>100</v>
      </c>
      <c r="D383" s="255">
        <v>1454</v>
      </c>
      <c r="E383" s="255">
        <v>1483</v>
      </c>
      <c r="F383" s="256">
        <f>28.932</f>
        <v>28.931999999999999</v>
      </c>
      <c r="G383" s="256">
        <f>751.67221</f>
        <v>751.67220999999995</v>
      </c>
      <c r="H383" s="256">
        <f t="shared" si="18"/>
        <v>731.32779000000005</v>
      </c>
      <c r="I383" s="256">
        <f>640.22605</f>
        <v>640.22604999999999</v>
      </c>
      <c r="J383" s="130"/>
    </row>
    <row r="384" spans="1:10" ht="14.1" customHeight="1" x14ac:dyDescent="0.25">
      <c r="A384" s="217"/>
      <c r="B384" s="72"/>
      <c r="C384" s="261" t="s">
        <v>105</v>
      </c>
      <c r="D384" s="262">
        <v>4867</v>
      </c>
      <c r="E384" s="262">
        <v>4863</v>
      </c>
      <c r="F384" s="256">
        <f>15.9118</f>
        <v>15.911799999999999</v>
      </c>
      <c r="G384" s="256">
        <f>47.0802</f>
        <v>47.080199999999998</v>
      </c>
      <c r="H384" s="256">
        <f t="shared" si="18"/>
        <v>4815.9197999999997</v>
      </c>
      <c r="I384" s="256">
        <f>263.04485</f>
        <v>263.04485</v>
      </c>
      <c r="J384" s="130"/>
    </row>
    <row r="385" spans="1:10" ht="14.1" customHeight="1" x14ac:dyDescent="0.25">
      <c r="A385" s="217"/>
      <c r="B385" s="72"/>
      <c r="C385" s="264" t="s">
        <v>59</v>
      </c>
      <c r="D385" s="265">
        <v>5500</v>
      </c>
      <c r="E385" s="265">
        <v>5500</v>
      </c>
      <c r="F385" s="267">
        <f>0</f>
        <v>0</v>
      </c>
      <c r="G385" s="267">
        <f>67.14256</f>
        <v>67.142560000000003</v>
      </c>
      <c r="H385" s="267">
        <f t="shared" si="18"/>
        <v>5432.8574399999998</v>
      </c>
      <c r="I385" s="267">
        <f>466.69468</f>
        <v>466.69468000000001</v>
      </c>
      <c r="J385" s="130"/>
    </row>
    <row r="386" spans="1:10" ht="14.1" customHeight="1" x14ac:dyDescent="0.25">
      <c r="A386" s="217"/>
      <c r="B386" s="72"/>
      <c r="C386" s="246" t="s">
        <v>22</v>
      </c>
      <c r="D386" s="250">
        <v>8000</v>
      </c>
      <c r="E386" s="250">
        <v>8000</v>
      </c>
      <c r="F386" s="268">
        <f>F388+F387</f>
        <v>49.892690000000002</v>
      </c>
      <c r="G386" s="268">
        <f>G388+G387</f>
        <v>1265.8249799999999</v>
      </c>
      <c r="H386" s="268">
        <f>E386-G386</f>
        <v>6734.1750200000006</v>
      </c>
      <c r="I386" s="268">
        <f>I388+I387</f>
        <v>1552.96029</v>
      </c>
      <c r="J386" s="130"/>
    </row>
    <row r="387" spans="1:10" ht="14.1" customHeight="1" x14ac:dyDescent="0.25">
      <c r="A387" s="217"/>
      <c r="B387" s="72"/>
      <c r="C387" s="259" t="s">
        <v>53</v>
      </c>
      <c r="D387" s="270"/>
      <c r="E387" s="255"/>
      <c r="F387" s="256">
        <f>0</f>
        <v>0</v>
      </c>
      <c r="G387" s="256">
        <f>517.07376</f>
        <v>517.07375999999999</v>
      </c>
      <c r="H387" s="256"/>
      <c r="I387" s="256">
        <f>742.5736</f>
        <v>742.57360000000006</v>
      </c>
      <c r="J387" s="130"/>
    </row>
    <row r="388" spans="1:10" ht="14.1" customHeight="1" x14ac:dyDescent="0.25">
      <c r="A388" s="217"/>
      <c r="B388" s="72"/>
      <c r="C388" s="272" t="s">
        <v>106</v>
      </c>
      <c r="D388" s="273"/>
      <c r="E388" s="276"/>
      <c r="F388" s="277">
        <f>49.89269</f>
        <v>49.892690000000002</v>
      </c>
      <c r="G388" s="277">
        <f>748.75122</f>
        <v>748.75121999999999</v>
      </c>
      <c r="H388" s="277"/>
      <c r="I388" s="277">
        <f>810.38669</f>
        <v>810.38669000000004</v>
      </c>
      <c r="J388" s="130"/>
    </row>
    <row r="389" spans="1:10" ht="14.1" customHeight="1" x14ac:dyDescent="0.25">
      <c r="A389" s="217"/>
      <c r="B389" s="72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0.0264</f>
        <v>2.64E-2</v>
      </c>
      <c r="H389" s="267">
        <f>E389-G389</f>
        <v>12.973599999999999</v>
      </c>
      <c r="I389" s="267">
        <f>0.0567</f>
        <v>5.67E-2</v>
      </c>
      <c r="J389" s="130"/>
    </row>
    <row r="390" spans="1:10" ht="14.1" customHeight="1" x14ac:dyDescent="0.25">
      <c r="A390" s="217"/>
      <c r="B390" s="72"/>
      <c r="C390" s="278" t="s">
        <v>107</v>
      </c>
      <c r="D390" s="281"/>
      <c r="E390" s="282"/>
      <c r="F390" s="267">
        <f>0.003</f>
        <v>3.0000000000000001E-3</v>
      </c>
      <c r="G390" s="267">
        <f>4.112</f>
        <v>4.1120000000000001</v>
      </c>
      <c r="H390" s="267">
        <f>E390-G390</f>
        <v>-4.1120000000000001</v>
      </c>
      <c r="I390" s="267">
        <f>22.82476</f>
        <v>22.824760000000001</v>
      </c>
      <c r="J390" s="130"/>
    </row>
    <row r="391" spans="1:10" ht="19.5" customHeight="1" x14ac:dyDescent="0.25">
      <c r="A391" s="217"/>
      <c r="B391" s="72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9">F380+F385+F386+F389+F390</f>
        <v>102.84624000000001</v>
      </c>
      <c r="G391" s="286">
        <f t="shared" si="19"/>
        <v>5830.36996</v>
      </c>
      <c r="H391" s="286">
        <f>H380+H385+H386+H389+H390</f>
        <v>30651.63004</v>
      </c>
      <c r="I391" s="286">
        <f t="shared" si="19"/>
        <v>5130.5345100000013</v>
      </c>
      <c r="J391" s="130"/>
    </row>
    <row r="392" spans="1:10" ht="14.1" customHeight="1" x14ac:dyDescent="0.25">
      <c r="A392" s="217"/>
      <c r="B392" s="72"/>
      <c r="C392" s="161" t="s">
        <v>108</v>
      </c>
      <c r="D392" s="288"/>
      <c r="E392" s="288"/>
      <c r="F392" s="4"/>
      <c r="G392" s="4"/>
      <c r="H392" s="5"/>
      <c r="I392" s="5"/>
      <c r="J392" s="130"/>
    </row>
    <row r="393" spans="1:10" ht="14.1" customHeight="1" x14ac:dyDescent="0.25">
      <c r="A393" s="217"/>
      <c r="B393" s="72"/>
      <c r="C393" s="101" t="s">
        <v>139</v>
      </c>
      <c r="D393" s="288"/>
      <c r="E393" s="288"/>
      <c r="F393" s="4"/>
      <c r="G393" s="4"/>
      <c r="H393" s="7"/>
      <c r="I393" s="5"/>
      <c r="J393" s="130"/>
    </row>
    <row r="394" spans="1:10" ht="14.1" customHeight="1" x14ac:dyDescent="0.25">
      <c r="A394" s="217"/>
      <c r="B394" s="72"/>
      <c r="C394" s="101" t="s">
        <v>138</v>
      </c>
      <c r="D394" s="288"/>
      <c r="E394" s="288"/>
      <c r="F394" s="4"/>
      <c r="G394" s="4"/>
      <c r="H394" s="5"/>
      <c r="I394" s="7"/>
      <c r="J394" s="130"/>
    </row>
    <row r="395" spans="1:10" ht="15.75" customHeight="1" x14ac:dyDescent="0.25">
      <c r="A395" s="217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7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7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7"/>
      <c r="C398" s="150" t="s">
        <v>116</v>
      </c>
      <c r="D398" s="156"/>
    </row>
    <row r="399" spans="1:10" ht="14.1" customHeight="1" x14ac:dyDescent="0.25">
      <c r="A399" s="217"/>
      <c r="B399" s="123"/>
      <c r="C399" s="238"/>
      <c r="D399" s="17"/>
      <c r="E399" s="238"/>
      <c r="F399" s="238"/>
      <c r="G399" s="238"/>
      <c r="H399" s="238"/>
      <c r="I399" s="238"/>
      <c r="J399" s="60"/>
    </row>
    <row r="400" spans="1:10" ht="14.1" customHeight="1" x14ac:dyDescent="0.25">
      <c r="A400" s="217"/>
      <c r="B400" s="72"/>
      <c r="C400" s="218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7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7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7"/>
      <c r="B403" s="72"/>
      <c r="C403" s="258" t="s">
        <v>6</v>
      </c>
      <c r="D403" s="269">
        <v>3530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7"/>
      <c r="B404" s="72"/>
      <c r="C404" s="247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" customHeight="1" x14ac:dyDescent="0.25">
      <c r="A405" s="217"/>
      <c r="B405" s="72"/>
      <c r="C405" s="247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7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7"/>
      <c r="B407" s="72"/>
      <c r="C407" s="291" t="s">
        <v>121</v>
      </c>
      <c r="D407" s="291"/>
      <c r="E407" s="291"/>
      <c r="F407" s="291"/>
      <c r="G407" s="291"/>
      <c r="H407" s="291"/>
      <c r="I407" s="150"/>
      <c r="J407" s="130"/>
    </row>
    <row r="408" spans="1:10" ht="14.1" customHeight="1" x14ac:dyDescent="0.25">
      <c r="A408" s="217"/>
      <c r="B408" s="72"/>
      <c r="C408" s="291"/>
      <c r="D408" s="291"/>
      <c r="E408" s="291"/>
      <c r="F408" s="291"/>
      <c r="G408" s="291"/>
      <c r="H408" s="291"/>
      <c r="I408" s="150"/>
      <c r="J408" s="130"/>
    </row>
    <row r="409" spans="1:10" ht="14.1" customHeight="1" x14ac:dyDescent="0.25">
      <c r="A409" s="217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7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x14ac:dyDescent="0.25">
      <c r="A412" s="217"/>
      <c r="B412" s="198"/>
      <c r="C412" s="20" t="s">
        <v>111</v>
      </c>
      <c r="D412" s="22" t="s">
        <v>112</v>
      </c>
      <c r="E412" s="20" t="s">
        <v>147</v>
      </c>
      <c r="F412" s="20" t="s">
        <v>148</v>
      </c>
      <c r="G412" s="25" t="s">
        <v>149</v>
      </c>
      <c r="H412" s="20" t="s">
        <v>150</v>
      </c>
      <c r="I412" s="223"/>
      <c r="J412" s="13"/>
    </row>
    <row r="413" spans="1:10" ht="14.1" customHeight="1" x14ac:dyDescent="0.25">
      <c r="A413" s="217"/>
      <c r="B413" s="72"/>
      <c r="C413" s="264" t="s">
        <v>113</v>
      </c>
      <c r="D413" s="204">
        <v>1235</v>
      </c>
      <c r="E413" s="26">
        <f>SUM(E414:E415)</f>
        <v>0</v>
      </c>
      <c r="F413" s="26">
        <f>SUM(F414:F415)</f>
        <v>988.40122999999994</v>
      </c>
      <c r="G413" s="85">
        <f>D413-F413</f>
        <v>246.59877000000006</v>
      </c>
      <c r="H413" s="26">
        <f>SUM(H414:H415)</f>
        <v>1838.2897400000002</v>
      </c>
      <c r="I413" s="27"/>
      <c r="J413" s="130"/>
    </row>
    <row r="414" spans="1:10" ht="14.1" customHeight="1" x14ac:dyDescent="0.25">
      <c r="A414" s="217"/>
      <c r="B414" s="72"/>
      <c r="C414" s="29" t="s">
        <v>8</v>
      </c>
      <c r="E414" s="205">
        <f>0</f>
        <v>0</v>
      </c>
      <c r="F414" s="205">
        <f>753.71223</f>
        <v>753.71222999999998</v>
      </c>
      <c r="G414" s="206"/>
      <c r="H414" s="205">
        <f>1442.8911</f>
        <v>1442.8911000000001</v>
      </c>
      <c r="I414" s="150"/>
      <c r="J414" s="130"/>
    </row>
    <row r="415" spans="1:10" ht="14.1" customHeight="1" x14ac:dyDescent="0.25">
      <c r="A415" s="217"/>
      <c r="B415" s="72"/>
      <c r="C415" s="29" t="s">
        <v>11</v>
      </c>
      <c r="D415" s="207"/>
      <c r="E415" s="208">
        <f>0</f>
        <v>0</v>
      </c>
      <c r="F415" s="208">
        <f>234.689</f>
        <v>234.68899999999999</v>
      </c>
      <c r="G415" s="209"/>
      <c r="H415" s="208">
        <f>395.39864</f>
        <v>395.39864</v>
      </c>
      <c r="I415" s="150"/>
      <c r="J415" s="130"/>
    </row>
    <row r="416" spans="1:10" ht="14.1" customHeight="1" x14ac:dyDescent="0.25">
      <c r="A416" s="217"/>
      <c r="B416" s="72"/>
      <c r="C416" s="264" t="s">
        <v>114</v>
      </c>
      <c r="D416" s="10">
        <v>1060</v>
      </c>
      <c r="E416" s="26">
        <f>SUM(E417:E418)</f>
        <v>0</v>
      </c>
      <c r="F416" s="26">
        <f>SUM(F417:F418)</f>
        <v>1221.9089799999999</v>
      </c>
      <c r="G416" s="85">
        <f>D416-F416</f>
        <v>-161.90897999999993</v>
      </c>
      <c r="H416" s="26">
        <f>SUM(H417:H418)</f>
        <v>1893.54342</v>
      </c>
      <c r="I416" s="27"/>
      <c r="J416" s="130"/>
    </row>
    <row r="417" spans="1:10" ht="14.1" customHeight="1" x14ac:dyDescent="0.25">
      <c r="A417" s="217"/>
      <c r="B417" s="72"/>
      <c r="C417" s="29" t="s">
        <v>8</v>
      </c>
      <c r="D417" s="42"/>
      <c r="E417" s="30">
        <f>0</f>
        <v>0</v>
      </c>
      <c r="F417" s="30">
        <f>982.54229</f>
        <v>982.54228999999998</v>
      </c>
      <c r="G417" s="97"/>
      <c r="H417" s="30">
        <f>1541.7145</f>
        <v>1541.7145</v>
      </c>
      <c r="I417" s="150"/>
      <c r="J417" s="130"/>
    </row>
    <row r="418" spans="1:10" ht="14.1" customHeight="1" x14ac:dyDescent="0.25">
      <c r="A418" s="217"/>
      <c r="B418" s="72"/>
      <c r="C418" s="29" t="s">
        <v>11</v>
      </c>
      <c r="D418" s="220"/>
      <c r="E418" s="30">
        <f>0</f>
        <v>0</v>
      </c>
      <c r="F418" s="30">
        <f>239.36669</f>
        <v>239.36669000000001</v>
      </c>
      <c r="G418" s="108"/>
      <c r="H418" s="30">
        <f>351.82892</f>
        <v>351.82891999999998</v>
      </c>
      <c r="I418" s="150"/>
      <c r="J418" s="130"/>
    </row>
    <row r="419" spans="1:10" ht="14.1" customHeight="1" x14ac:dyDescent="0.25">
      <c r="A419" s="217"/>
      <c r="B419" s="72"/>
      <c r="C419" s="264" t="s">
        <v>115</v>
      </c>
      <c r="D419" s="10">
        <v>1235</v>
      </c>
      <c r="E419" s="36">
        <f>SUM(E420:E421)</f>
        <v>60.218009999999992</v>
      </c>
      <c r="F419" s="36">
        <f>SUM(F420:F421)</f>
        <v>419.17777999999998</v>
      </c>
      <c r="G419" s="85">
        <f>D419-F419</f>
        <v>815.82222000000002</v>
      </c>
      <c r="H419" s="36">
        <f>SUM(H420:H421)</f>
        <v>740.81698000000006</v>
      </c>
      <c r="I419" s="150"/>
      <c r="J419" s="130"/>
    </row>
    <row r="420" spans="1:10" ht="14.1" customHeight="1" x14ac:dyDescent="0.25">
      <c r="A420" s="217"/>
      <c r="B420" s="72"/>
      <c r="C420" s="29" t="s">
        <v>8</v>
      </c>
      <c r="D420" s="42"/>
      <c r="E420" s="30">
        <f>42.4768</f>
        <v>42.476799999999997</v>
      </c>
      <c r="F420" s="30">
        <f>286.90954</f>
        <v>286.90953999999999</v>
      </c>
      <c r="G420" s="97"/>
      <c r="H420" s="30">
        <f>527.83118</f>
        <v>527.83118000000002</v>
      </c>
      <c r="I420" s="150"/>
      <c r="J420" s="130"/>
    </row>
    <row r="421" spans="1:10" ht="14.1" customHeight="1" x14ac:dyDescent="0.25">
      <c r="A421" s="217"/>
      <c r="B421" s="72"/>
      <c r="C421" s="29" t="s">
        <v>11</v>
      </c>
      <c r="D421" s="220"/>
      <c r="E421" s="30">
        <f>17.74121</f>
        <v>17.741209999999999</v>
      </c>
      <c r="F421" s="30">
        <f>132.26824</f>
        <v>132.26823999999999</v>
      </c>
      <c r="G421" s="108"/>
      <c r="H421" s="30">
        <f>212.9858</f>
        <v>212.98580000000001</v>
      </c>
      <c r="I421" s="150"/>
      <c r="J421" s="130"/>
    </row>
    <row r="422" spans="1:10" ht="14.1" customHeight="1" x14ac:dyDescent="0.25">
      <c r="A422" s="217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7"/>
      <c r="B423" s="72"/>
      <c r="C423" s="284" t="s">
        <v>87</v>
      </c>
      <c r="D423" s="39"/>
      <c r="E423" s="40">
        <f>E413+E416+E419+E422</f>
        <v>60.218009999999992</v>
      </c>
      <c r="F423" s="40">
        <f>F413+F416+F419+F422</f>
        <v>2629.4879899999996</v>
      </c>
      <c r="G423" s="41"/>
      <c r="H423" s="40">
        <f>H413+H416+H419+H422</f>
        <v>4472.6501399999997</v>
      </c>
      <c r="I423" s="27"/>
      <c r="J423" s="130"/>
    </row>
    <row r="424" spans="1:10" ht="42" customHeight="1" x14ac:dyDescent="0.25">
      <c r="A424" s="217"/>
      <c r="B424" s="72"/>
      <c r="C424" s="292" t="s">
        <v>122</v>
      </c>
      <c r="D424" s="292"/>
      <c r="E424" s="292"/>
      <c r="F424" s="292"/>
      <c r="G424" s="292"/>
      <c r="H424" s="292"/>
      <c r="I424" s="292"/>
      <c r="J424" s="293"/>
    </row>
    <row r="425" spans="1:10" ht="14.1" customHeight="1" x14ac:dyDescent="0.25">
      <c r="A425" s="217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4">
    <mergeCell ref="C17:H17"/>
    <mergeCell ref="B2:J2"/>
    <mergeCell ref="B9:J9"/>
    <mergeCell ref="C11:D11"/>
    <mergeCell ref="E11:F11"/>
    <mergeCell ref="G11:H11"/>
    <mergeCell ref="C407:H408"/>
    <mergeCell ref="C424:J424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15&amp;R15.04.2024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Even Gaulen Gulliksen</cp:lastModifiedBy>
  <cp:lastPrinted>2022-11-14T12:51:47Z</cp:lastPrinted>
  <dcterms:created xsi:type="dcterms:W3CDTF">2022-08-01T13:23:35Z</dcterms:created>
  <dcterms:modified xsi:type="dcterms:W3CDTF">2024-04-15T08:16:03Z</dcterms:modified>
</cp:coreProperties>
</file>