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8B542B1F-D5C9-4A60-BCAF-AAD61DEC68D7}" xr6:coauthVersionLast="47" xr6:coauthVersionMax="47" xr10:uidLastSave="{00000000-0000-0000-0000-000000000000}"/>
  <bookViews>
    <workbookView xWindow="0" yWindow="0" windowWidth="19200" windowHeight="156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4" i="1"/>
  <c r="I31" i="1"/>
  <c r="I30" i="1"/>
  <c r="I29" i="1"/>
  <c r="I28" i="1"/>
  <c r="I27" i="1"/>
  <c r="G38" i="1"/>
  <c r="G31" i="1"/>
  <c r="G30" i="1"/>
  <c r="G29" i="1"/>
  <c r="G28" i="1"/>
  <c r="G27" i="1"/>
  <c r="G34" i="1"/>
  <c r="F34" i="1"/>
  <c r="F31" i="1"/>
  <c r="F30" i="1"/>
  <c r="F29" i="1"/>
  <c r="F28" i="1"/>
  <c r="F27" i="1"/>
  <c r="G125" i="1"/>
  <c r="G124" i="1"/>
  <c r="G123" i="1"/>
  <c r="G119" i="1"/>
  <c r="H345" i="1" l="1"/>
  <c r="G345" i="1"/>
  <c r="F345" i="1"/>
  <c r="E345" i="1"/>
  <c r="D345" i="1"/>
  <c r="G344" i="1"/>
  <c r="G343" i="1"/>
  <c r="E336" i="1"/>
  <c r="D324" i="1"/>
  <c r="H323" i="1"/>
  <c r="H324" i="1" s="1"/>
  <c r="F323" i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H299" i="1"/>
  <c r="F299" i="1"/>
  <c r="E299" i="1"/>
  <c r="H298" i="1"/>
  <c r="F298" i="1"/>
  <c r="E298" i="1"/>
  <c r="E297" i="1" s="1"/>
  <c r="F297" i="1"/>
  <c r="G297" i="1" s="1"/>
  <c r="H296" i="1"/>
  <c r="H294" i="1" s="1"/>
  <c r="F296" i="1"/>
  <c r="E296" i="1"/>
  <c r="H295" i="1"/>
  <c r="F295" i="1"/>
  <c r="F294" i="1" s="1"/>
  <c r="E295" i="1"/>
  <c r="E294" i="1" s="1"/>
  <c r="E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I269" i="1"/>
  <c r="G269" i="1"/>
  <c r="F269" i="1"/>
  <c r="I267" i="1"/>
  <c r="H267" i="1"/>
  <c r="G267" i="1"/>
  <c r="F267" i="1"/>
  <c r="I266" i="1"/>
  <c r="I262" i="1" s="1"/>
  <c r="I273" i="1" s="1"/>
  <c r="G266" i="1"/>
  <c r="H266" i="1" s="1"/>
  <c r="F266" i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E262" i="1"/>
  <c r="D262" i="1"/>
  <c r="D273" i="1" s="1"/>
  <c r="H254" i="1"/>
  <c r="F254" i="1"/>
  <c r="D251" i="1"/>
  <c r="D250" i="1"/>
  <c r="D241" i="1"/>
  <c r="H240" i="1"/>
  <c r="G240" i="1"/>
  <c r="F240" i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F241" i="1" s="1"/>
  <c r="E237" i="1"/>
  <c r="D230" i="1"/>
  <c r="D219" i="1"/>
  <c r="H218" i="1"/>
  <c r="F218" i="1"/>
  <c r="G218" i="1" s="1"/>
  <c r="E218" i="1"/>
  <c r="H217" i="1"/>
  <c r="F217" i="1"/>
  <c r="E217" i="1"/>
  <c r="H216" i="1"/>
  <c r="F216" i="1"/>
  <c r="E216" i="1"/>
  <c r="E215" i="1" s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E202" i="1" s="1"/>
  <c r="E206" i="1" s="1"/>
  <c r="H202" i="1"/>
  <c r="H206" i="1" s="1"/>
  <c r="E192" i="1"/>
  <c r="D192" i="1"/>
  <c r="I191" i="1"/>
  <c r="G191" i="1"/>
  <c r="H191" i="1" s="1"/>
  <c r="F191" i="1"/>
  <c r="I190" i="1"/>
  <c r="G190" i="1"/>
  <c r="F190" i="1"/>
  <c r="I189" i="1"/>
  <c r="H189" i="1"/>
  <c r="G189" i="1"/>
  <c r="F189" i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H162" i="1"/>
  <c r="F162" i="1"/>
  <c r="G162" i="1" s="1"/>
  <c r="E162" i="1"/>
  <c r="H161" i="1"/>
  <c r="F161" i="1"/>
  <c r="E161" i="1"/>
  <c r="H160" i="1"/>
  <c r="F160" i="1"/>
  <c r="G160" i="1" s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H128" i="1"/>
  <c r="G128" i="1"/>
  <c r="F128" i="1"/>
  <c r="I127" i="1"/>
  <c r="I126" i="1" s="1"/>
  <c r="G127" i="1"/>
  <c r="H127" i="1" s="1"/>
  <c r="H126" i="1" s="1"/>
  <c r="F127" i="1"/>
  <c r="E126" i="1"/>
  <c r="D126" i="1"/>
  <c r="I125" i="1"/>
  <c r="H125" i="1"/>
  <c r="F125" i="1"/>
  <c r="I124" i="1"/>
  <c r="H124" i="1"/>
  <c r="F124" i="1"/>
  <c r="I123" i="1"/>
  <c r="H123" i="1"/>
  <c r="F123" i="1"/>
  <c r="I122" i="1"/>
  <c r="G122" i="1"/>
  <c r="H122" i="1" s="1"/>
  <c r="F122" i="1"/>
  <c r="F121" i="1" s="1"/>
  <c r="I121" i="1"/>
  <c r="I120" i="1" s="1"/>
  <c r="E121" i="1"/>
  <c r="D121" i="1"/>
  <c r="D120" i="1"/>
  <c r="D137" i="1" s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G116" i="1"/>
  <c r="H116" i="1" s="1"/>
  <c r="F116" i="1"/>
  <c r="F115" i="1" s="1"/>
  <c r="E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G83" i="1" s="1"/>
  <c r="G82" i="1" s="1"/>
  <c r="F84" i="1"/>
  <c r="I83" i="1"/>
  <c r="I82" i="1" s="1"/>
  <c r="E83" i="1"/>
  <c r="D83" i="1"/>
  <c r="D82" i="1" s="1"/>
  <c r="E82" i="1"/>
  <c r="I81" i="1"/>
  <c r="G81" i="1"/>
  <c r="H81" i="1" s="1"/>
  <c r="F81" i="1"/>
  <c r="F79" i="1" s="1"/>
  <c r="I80" i="1"/>
  <c r="I79" i="1" s="1"/>
  <c r="G80" i="1"/>
  <c r="F80" i="1"/>
  <c r="E79" i="1"/>
  <c r="D79" i="1"/>
  <c r="C76" i="1"/>
  <c r="H72" i="1"/>
  <c r="F72" i="1"/>
  <c r="D72" i="1"/>
  <c r="H58" i="1"/>
  <c r="H57" i="1"/>
  <c r="I52" i="1"/>
  <c r="G52" i="1"/>
  <c r="H31" i="1" s="1"/>
  <c r="F52" i="1"/>
  <c r="H41" i="1"/>
  <c r="G41" i="1"/>
  <c r="F41" i="1"/>
  <c r="G40" i="1"/>
  <c r="H40" i="1" s="1"/>
  <c r="F40" i="1"/>
  <c r="H39" i="1"/>
  <c r="G39" i="1"/>
  <c r="F39" i="1"/>
  <c r="H38" i="1"/>
  <c r="F38" i="1"/>
  <c r="I37" i="1"/>
  <c r="H37" i="1"/>
  <c r="G37" i="1"/>
  <c r="F37" i="1"/>
  <c r="I36" i="1"/>
  <c r="H36" i="1"/>
  <c r="G36" i="1"/>
  <c r="F36" i="1"/>
  <c r="I35" i="1"/>
  <c r="I33" i="1" s="1"/>
  <c r="H35" i="1"/>
  <c r="G35" i="1"/>
  <c r="F35" i="1"/>
  <c r="H34" i="1"/>
  <c r="F33" i="1"/>
  <c r="E33" i="1"/>
  <c r="E25" i="1" s="1"/>
  <c r="D33" i="1"/>
  <c r="I32" i="1"/>
  <c r="G32" i="1"/>
  <c r="H32" i="1" s="1"/>
  <c r="F32" i="1"/>
  <c r="H30" i="1"/>
  <c r="H29" i="1"/>
  <c r="H28" i="1"/>
  <c r="H27" i="1"/>
  <c r="E26" i="1"/>
  <c r="D26" i="1"/>
  <c r="D25" i="1" s="1"/>
  <c r="I24" i="1"/>
  <c r="G24" i="1"/>
  <c r="H24" i="1" s="1"/>
  <c r="F24" i="1"/>
  <c r="F22" i="1" s="1"/>
  <c r="I23" i="1"/>
  <c r="I22" i="1" s="1"/>
  <c r="G23" i="1"/>
  <c r="F23" i="1"/>
  <c r="E22" i="1"/>
  <c r="D22" i="1"/>
  <c r="H16" i="1"/>
  <c r="F16" i="1"/>
  <c r="D16" i="1"/>
  <c r="H304" i="1" l="1"/>
  <c r="F169" i="1"/>
  <c r="G169" i="1" s="1"/>
  <c r="F94" i="1"/>
  <c r="F83" i="1"/>
  <c r="F82" i="1" s="1"/>
  <c r="I115" i="1"/>
  <c r="I137" i="1" s="1"/>
  <c r="F192" i="1"/>
  <c r="D42" i="1"/>
  <c r="G33" i="1"/>
  <c r="H33" i="1" s="1"/>
  <c r="E94" i="1"/>
  <c r="H84" i="1"/>
  <c r="E241" i="1"/>
  <c r="E300" i="1"/>
  <c r="H169" i="1"/>
  <c r="I192" i="1"/>
  <c r="F215" i="1"/>
  <c r="F219" i="1" s="1"/>
  <c r="G219" i="1" s="1"/>
  <c r="G22" i="1"/>
  <c r="G79" i="1"/>
  <c r="G94" i="1" s="1"/>
  <c r="E137" i="1"/>
  <c r="E120" i="1"/>
  <c r="H215" i="1"/>
  <c r="H219" i="1" s="1"/>
  <c r="G241" i="1"/>
  <c r="G262" i="1"/>
  <c r="G273" i="1" s="1"/>
  <c r="E42" i="1"/>
  <c r="H262" i="1"/>
  <c r="H273" i="1" s="1"/>
  <c r="D94" i="1"/>
  <c r="I94" i="1"/>
  <c r="G115" i="1"/>
  <c r="F126" i="1"/>
  <c r="F120" i="1" s="1"/>
  <c r="F137" i="1" s="1"/>
  <c r="E163" i="1"/>
  <c r="G192" i="1"/>
  <c r="F262" i="1"/>
  <c r="F268" i="1"/>
  <c r="H297" i="1"/>
  <c r="F324" i="1"/>
  <c r="G237" i="1"/>
  <c r="F300" i="1"/>
  <c r="G300" i="1" s="1"/>
  <c r="I26" i="1"/>
  <c r="I25" i="1" s="1"/>
  <c r="F26" i="1"/>
  <c r="F25" i="1" s="1"/>
  <c r="F42" i="1" s="1"/>
  <c r="H121" i="1"/>
  <c r="H120" i="1" s="1"/>
  <c r="E169" i="1"/>
  <c r="G202" i="1"/>
  <c r="F206" i="1"/>
  <c r="G206" i="1" s="1"/>
  <c r="H83" i="1"/>
  <c r="H82" i="1" s="1"/>
  <c r="E304" i="1"/>
  <c r="H26" i="1"/>
  <c r="H192" i="1"/>
  <c r="G215" i="1"/>
  <c r="H115" i="1"/>
  <c r="G126" i="1"/>
  <c r="G26" i="1"/>
  <c r="G323" i="1"/>
  <c r="G324" i="1" s="1"/>
  <c r="G121" i="1"/>
  <c r="H23" i="1"/>
  <c r="H22" i="1" s="1"/>
  <c r="H52" i="1"/>
  <c r="H80" i="1"/>
  <c r="H79" i="1" s="1"/>
  <c r="H190" i="1"/>
  <c r="G294" i="1"/>
  <c r="G25" i="1" l="1"/>
  <c r="G42" i="1" s="1"/>
  <c r="F273" i="1"/>
  <c r="H137" i="1"/>
  <c r="F304" i="1"/>
  <c r="G304" i="1" s="1"/>
  <c r="H25" i="1"/>
  <c r="H42" i="1" s="1"/>
  <c r="H94" i="1"/>
  <c r="G120" i="1"/>
  <c r="G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<sst xmlns="http://schemas.openxmlformats.org/spreadsheetml/2006/main" count="393" uniqueCount="167">
  <si>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</si>
  <si>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</si>
  <si>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</si>
  <si>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</si>
  <si>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</si>
  <si>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</si>
  <si>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</si>
  <si>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</si>
  <si>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</si>
  <si>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</si>
  <si>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</si>
  <si>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</si>
  <si>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</si>
  <si>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</si>
  <si>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</si>
  <si>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</si>
  <si>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</si>
  <si>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</si>
  <si>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</si>
  <si>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</si>
  <si>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</si>
  <si>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</si>
  <si>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</si>
  <si>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</si>
  <si>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</si>
  <si>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</si>
  <si>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</si>
  <si>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</si>
  <si>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</si>
  <si>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</si>
  <si>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</si>
  <si>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</si>
  <si>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</si>
  <si>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</si>
  <si>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</si>
  <si>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</si>
  <si>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</si>
  <si>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</si>
  <si>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</si>
  <si>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</si>
  <si>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</si>
  <si>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</si>
  <si>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</si>
  <si>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</si>
  <si>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</si>
  <si>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</si>
  <si>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</si>
  <si>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</si>
  <si>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</si>
  <si>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</si>
  <si>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</si>
  <si>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</si>
  <si>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</si>
  <si>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</si>
  <si>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</si>
  <si>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</si>
  <si>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</si>
  <si>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</si>
  <si>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</si>
  <si>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</si>
  <si>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</si>
  <si>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</si>
  <si>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</si>
  <si>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</si>
  <si>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</si>
  <si>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</si>
  <si>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</si>
  <si>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</si>
  <si>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</si>
  <si>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</si>
  <si>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</si>
  <si>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</si>
  <si>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</si>
  <si>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</si>
  <si>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</si>
  <si>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</si>
  <si>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</si>
  <si>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</si>
  <si>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</si>
  <si>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</si>
  <si>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</si>
  <si>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</si>
  <si>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</si>
  <si>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</si>
  <si>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</si>
  <si>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</si>
  <si>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</si>
  <si>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</si>
  <si>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</si>
  <si>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</si>
  <si>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</si>
  <si>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</si>
  <si>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</si>
  <si>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</si>
  <si>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</si>
  <si>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</si>
  <si>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</si>
  <si>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</si>
  <si>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</si>
  <si>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</si>
  <si>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</si>
  <si>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</si>
  <si>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</si>
  <si>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</si>
  <si>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</si>
  <si>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</si>
  <si>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</si>
  <si>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</si>
  <si>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</si>
  <si>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</si>
  <si>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</si>
  <si>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</si>
  <si>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</si>
  <si>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</si>
  <si>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</si>
  <si>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</si>
  <si>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</si>
  <si>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</si>
  <si>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</si>
  <si>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</si>
  <si>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</si>
  <si>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</si>
  <si>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</si>
  <si>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</si>
  <si>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</si>
  <si>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</si>
  <si>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</si>
  <si>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</si>
  <si>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</si>
  <si>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</si>
  <si>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</si>
  <si>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</si>
  <si>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</si>
  <si>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</si>
  <si>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</si>
  <si>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</si>
  <si>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</si>
  <si>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</si>
  <si>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</si>
  <si>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</si>
  <si>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</si>
  <si>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</si>
  <si>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</si>
  <si>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</si>
  <si>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</si>
  <si>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</si>
  <si>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</si>
  <si>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</si>
  <si>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</si>
  <si>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</si>
  <si>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</si>
  <si>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</si>
  <si>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</si>
  <si>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</si>
  <si>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</si>
  <si>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</si>
  <si>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</si>
  <si>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</si>
  <si>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</si>
  <si>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47 tonn, men det legges til grunn at hele avsetningen tas</t>
  </si>
  <si>
    <t>4 Registrert rekreasjonsfiske utgjør 348 tonn, men det legges til grunn at hele avsetningen tas</t>
  </si>
  <si>
    <t>3 Registrert rekreasjonsfiske utgjør 708 tonn, men det legges til grunn at hele avsetningen tas</t>
  </si>
  <si>
    <t>FANGST UKE 34</t>
  </si>
  <si>
    <t>FANGST T.O.M UKE 34</t>
  </si>
  <si>
    <t>RESTKVOTER UKE 34</t>
  </si>
  <si>
    <t>FANGST T.O.M UKE 34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</si>
  <si>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2 386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</si>
</sst>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1" zoomScale="112" zoomScaleNormal="55" zoomScaleSheetLayoutView="100" zoomScalePageLayoutView="85" workbookViewId="0">
      <selection activeCell="F37" sqref="F37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897.11396999999999</v>
      </c>
      <c r="G22" s="27">
        <f t="shared" si="0"/>
        <v>22167.320069999998</v>
      </c>
      <c r="H22" s="10">
        <f t="shared" si="0"/>
        <v>19418.679930000002</v>
      </c>
      <c r="I22" s="10">
        <f t="shared" si="0"/>
        <v>38393.606820000001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897.11397</f>
        <v>897.11396999999999</v>
      </c>
      <c r="G23" s="22">
        <f>21796.62042</f>
        <v>21796.620419999999</v>
      </c>
      <c r="H23" s="22">
        <f>E23-G23</f>
        <v>19026.379580000001</v>
      </c>
      <c r="I23" s="22">
        <f>37869.52824</f>
        <v>37869.52824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370.69965</f>
        <v>370.69965000000002</v>
      </c>
      <c r="H24" s="22">
        <f>E24-G24</f>
        <v>392.30034999999998</v>
      </c>
      <c r="I24" s="22">
        <f>524.07858</f>
        <v>524.07857999999999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662.54659000000004</v>
      </c>
      <c r="G25" s="10">
        <f t="shared" si="1"/>
        <v>104059.20368000001</v>
      </c>
      <c r="H25" s="10">
        <f t="shared" si="1"/>
        <v>17608.796320000001</v>
      </c>
      <c r="I25" s="10">
        <f t="shared" si="1"/>
        <v>123543.48181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465.61499000000003</v>
      </c>
      <c r="G26" s="129">
        <f>G27+G28+G29+G30+G31</f>
        <v>83436.19531000001</v>
      </c>
      <c r="H26" s="129">
        <f t="shared" ref="H26:I26" si="2">H27+H28+H29+H30+H31</f>
        <v>11456.804690000001</v>
      </c>
      <c r="I26" s="129">
        <f t="shared" si="2"/>
        <v>100565.25566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49.547 - F53</f>
        <v>19.546999999999997</v>
      </c>
      <c r="G27" s="123">
        <f>22924.51183 - G53</f>
        <v>22624.511829999999</v>
      </c>
      <c r="H27" s="123">
        <f t="shared" ref="H27:H39" si="3">E27-G27</f>
        <v>2528.4881700000005</v>
      </c>
      <c r="I27" s="123">
        <f>26274.12076 - I53</f>
        <v>25738.120760000002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139.7517 - F54</f>
        <v>68.7517</v>
      </c>
      <c r="G28" s="123">
        <f>22773.46474 - G54</f>
        <v>22244.464739999999</v>
      </c>
      <c r="H28" s="123">
        <f t="shared" si="3"/>
        <v>1749.5352600000006</v>
      </c>
      <c r="I28" s="123">
        <f>28121.01064 - I54</f>
        <v>27296.01064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118.45208 - F55</f>
        <v>40.452079999999995</v>
      </c>
      <c r="G29" s="123">
        <f>21814.3286 - G55</f>
        <v>21032.328600000001</v>
      </c>
      <c r="H29" s="123">
        <f t="shared" si="3"/>
        <v>837.67139999999927</v>
      </c>
      <c r="I29" s="123">
        <f>26538.15343 - I55</f>
        <v>25434.153429999998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157.86421 - F56</f>
        <v>122.86421000000001</v>
      </c>
      <c r="G30" s="123">
        <f>15923.89014 - G56</f>
        <v>15349.89014</v>
      </c>
      <c r="H30" s="123">
        <f t="shared" si="3"/>
        <v>295.10986000000048</v>
      </c>
      <c r="I30" s="123">
        <f>19631.97083 - I56</f>
        <v>18778.970829999998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214</v>
      </c>
      <c r="G31" s="123">
        <f>G52</f>
        <v>2185</v>
      </c>
      <c r="H31" s="123">
        <f>E31-G31</f>
        <v>6046</v>
      </c>
      <c r="I31" s="123">
        <f>I52</f>
        <v>3318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176.90868</f>
        <v>176.90868</v>
      </c>
      <c r="G32" s="129">
        <f>9413.73343</f>
        <v>9413.7334300000002</v>
      </c>
      <c r="H32" s="129">
        <f t="shared" si="3"/>
        <v>4265.2665699999998</v>
      </c>
      <c r="I32" s="129">
        <f>10994.21644</f>
        <v>10994.21644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20.022919999999999</v>
      </c>
      <c r="G33" s="129">
        <f>G34+G35</f>
        <v>11209.274939999999</v>
      </c>
      <c r="H33" s="129">
        <f>E33-G33</f>
        <v>1886.7250600000007</v>
      </c>
      <c r="I33" s="129">
        <f>I34+I35</f>
        <v>11984.00971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30.02292 - F57 - F58</f>
        <v>20.022919999999999</v>
      </c>
      <c r="G34" s="129">
        <f>13248.27494 - G57 - G58</f>
        <v>11209.274939999999</v>
      </c>
      <c r="H34" s="123">
        <f t="shared" si="3"/>
        <v>926.72506000000067</v>
      </c>
      <c r="I34" s="123">
        <f>14773.00971 - I57 - I58</f>
        <v>11623.00971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361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4.5</f>
        <v>4.5</v>
      </c>
      <c r="G37" s="95">
        <f>573.07131</f>
        <v>573.07131000000004</v>
      </c>
      <c r="H37" s="95">
        <f t="shared" si="3"/>
        <v>281.92868999999996</v>
      </c>
      <c r="I37" s="95">
        <f>471.27873</f>
        <v>471.27873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10</v>
      </c>
      <c r="G38" s="95">
        <f>G58</f>
        <v>2039</v>
      </c>
      <c r="H38" s="95">
        <f t="shared" si="3"/>
        <v>961</v>
      </c>
      <c r="I38" s="95">
        <f>I58</f>
        <v>2789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1.8668</f>
        <v>1.8668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</f>
        <v>0</v>
      </c>
      <c r="G40" s="95">
        <f>380.72374</f>
        <v>380.72374000000002</v>
      </c>
      <c r="H40" s="95">
        <f>E40-G40</f>
        <v>69.276259999999979</v>
      </c>
      <c r="I40" s="95">
        <f>335.06956</f>
        <v>335.06956000000002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0.002</f>
        <v>2E-3</v>
      </c>
      <c r="G41" s="136">
        <f>101.50063</f>
        <v>101.50063</v>
      </c>
      <c r="H41" s="136">
        <f t="shared" ref="H41" si="4">E41-G41</f>
        <v>-101.50063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1576.02936</v>
      </c>
      <c r="G42" s="73">
        <f t="shared" si="5"/>
        <v>136601.07582999999</v>
      </c>
      <c r="H42" s="73">
        <f t="shared" si="5"/>
        <v>38957.924170000006</v>
      </c>
      <c r="I42" s="73">
        <f>I22+I25+I36+I37+I38+I39+I40+I41</f>
        <v>172966.31938000003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214</v>
      </c>
      <c r="G52" s="10">
        <f>G56+G55+G54+G53</f>
        <v>2185</v>
      </c>
      <c r="H52" s="329">
        <f>E52-G52</f>
        <v>6046</v>
      </c>
      <c r="I52" s="10">
        <f>I56+I55+I54+I53</f>
        <v>3318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>
        <v>30</v>
      </c>
      <c r="G53" s="123">
        <v>300</v>
      </c>
      <c r="H53" s="330"/>
      <c r="I53" s="123">
        <v>536</v>
      </c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>
        <v>71</v>
      </c>
      <c r="G54" s="123">
        <v>529</v>
      </c>
      <c r="H54" s="330"/>
      <c r="I54" s="123">
        <v>825</v>
      </c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>
        <v>78</v>
      </c>
      <c r="G55" s="123">
        <v>782</v>
      </c>
      <c r="H55" s="330"/>
      <c r="I55" s="123">
        <v>1104</v>
      </c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>
        <v>35</v>
      </c>
      <c r="G56" s="186">
        <v>574</v>
      </c>
      <c r="H56" s="331"/>
      <c r="I56" s="186">
        <v>853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/>
      <c r="G57" s="92"/>
      <c r="H57" s="92">
        <f>E57-G57</f>
        <v>960</v>
      </c>
      <c r="I57" s="92">
        <v>361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10</v>
      </c>
      <c r="G58" s="136">
        <v>2039</v>
      </c>
      <c r="H58" s="136">
        <f>E58-G58</f>
        <v>961</v>
      </c>
      <c r="I58" s="136">
        <v>2789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332.12853000000001</v>
      </c>
      <c r="G79" s="10">
        <f t="shared" si="6"/>
        <v>19954.904429999999</v>
      </c>
      <c r="H79" s="10">
        <f t="shared" si="6"/>
        <v>6186.0955700000013</v>
      </c>
      <c r="I79" s="10">
        <f t="shared" si="6"/>
        <v>23364.372150000003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332.12853</f>
        <v>332.12853000000001</v>
      </c>
      <c r="G80" s="22">
        <f>19517.74141</f>
        <v>19517.741409999999</v>
      </c>
      <c r="H80" s="22">
        <f>E80-G80</f>
        <v>5798.2585900000013</v>
      </c>
      <c r="I80" s="22">
        <f>22574.8257</f>
        <v>22574.825700000001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789.54645</f>
        <v>789.54645000000005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587.64552000000003</v>
      </c>
      <c r="G82" s="10">
        <f t="shared" si="7"/>
        <v>30865.907780000001</v>
      </c>
      <c r="H82" s="10">
        <f t="shared" si="7"/>
        <v>13263.092219999999</v>
      </c>
      <c r="I82" s="10">
        <f t="shared" si="7"/>
        <v>38222.577989999998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544.13647000000003</v>
      </c>
      <c r="G83" s="129">
        <f t="shared" si="8"/>
        <v>24694.808379999999</v>
      </c>
      <c r="H83" s="129">
        <f t="shared" si="8"/>
        <v>7810.1916200000005</v>
      </c>
      <c r="I83" s="129">
        <f t="shared" si="8"/>
        <v>30798.549470000002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50.37467</f>
        <v>50.374670000000002</v>
      </c>
      <c r="G84" s="123">
        <f>3185.3445</f>
        <v>3185.3445000000002</v>
      </c>
      <c r="H84" s="123">
        <f t="shared" ref="H84:H91" si="9">E84-G84</f>
        <v>5818.6554999999998</v>
      </c>
      <c r="I84" s="123">
        <f>4616.01894</f>
        <v>4616.0189399999999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149.27805</f>
        <v>149.27805000000001</v>
      </c>
      <c r="G85" s="123">
        <f>6477.96786</f>
        <v>6477.9678599999997</v>
      </c>
      <c r="H85" s="123">
        <f t="shared" si="9"/>
        <v>2597.0321400000003</v>
      </c>
      <c r="I85" s="123">
        <f>10130.77668</f>
        <v>10130.776680000001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209.46668</f>
        <v>209.46668</v>
      </c>
      <c r="G86" s="123">
        <f>7779.12388</f>
        <v>7779.1238800000001</v>
      </c>
      <c r="H86" s="123">
        <f t="shared" si="9"/>
        <v>869.8761199999999</v>
      </c>
      <c r="I86" s="123">
        <f>9502.2235</f>
        <v>9502.2235000000001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135.01707</f>
        <v>135.01706999999999</v>
      </c>
      <c r="G87" s="123">
        <f>7252.37214</f>
        <v>7252.3721400000004</v>
      </c>
      <c r="H87" s="123">
        <f t="shared" si="9"/>
        <v>-1475.3721400000004</v>
      </c>
      <c r="I87" s="123">
        <f>6549.53035</f>
        <v>6549.53035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21.29236</f>
        <v>21.292359999999999</v>
      </c>
      <c r="G88" s="129">
        <f>4811.4059</f>
        <v>4811.4058999999997</v>
      </c>
      <c r="H88" s="129">
        <f t="shared" si="9"/>
        <v>3305.5941000000003</v>
      </c>
      <c r="I88" s="129">
        <f>5375.63395</f>
        <v>5375.6339500000004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22.21669</f>
        <v>22.21669</v>
      </c>
      <c r="G89" s="72">
        <f>1359.6935</f>
        <v>1359.6935000000001</v>
      </c>
      <c r="H89" s="72">
        <f t="shared" si="9"/>
        <v>2147.3064999999997</v>
      </c>
      <c r="I89" s="72">
        <f>2048.39457</f>
        <v>2048.3945699999999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3.9984</f>
        <v>3.9984000000000002</v>
      </c>
      <c r="G90" s="95">
        <f>37.06947</f>
        <v>37.069470000000003</v>
      </c>
      <c r="H90" s="95">
        <f t="shared" si="9"/>
        <v>281.93052999999998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0.13262</f>
        <v>0.13261999999999999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12.66386</f>
        <v>12.66386</v>
      </c>
      <c r="H92" s="136">
        <f>E92-G92</f>
        <v>37.33614</v>
      </c>
      <c r="I92" s="95">
        <f>21.92166</f>
        <v>21.921659999999999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0.001</f>
        <v>1E-3</v>
      </c>
      <c r="G93" s="136">
        <f>12.56132</f>
        <v>12.56132</v>
      </c>
      <c r="H93" s="136">
        <f t="shared" ref="H93" si="10">E93-G93</f>
        <v>-12.56132</v>
      </c>
      <c r="I93" s="136">
        <f>16.07232</f>
        <v>16.072320000000001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923.90606999999989</v>
      </c>
      <c r="G94" s="73">
        <f t="shared" si="12"/>
        <v>51183.106860000007</v>
      </c>
      <c r="H94" s="73">
        <f t="shared" si="12"/>
        <v>19755.89314</v>
      </c>
      <c r="I94" s="73">
        <f t="shared" si="12"/>
        <v>61961.045879999998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359.94519000000003</v>
      </c>
      <c r="G115" s="10">
        <f t="shared" si="13"/>
        <v>34552.865720000002</v>
      </c>
      <c r="H115" s="10">
        <f t="shared" si="13"/>
        <v>36462.134279999998</v>
      </c>
      <c r="I115" s="10">
        <f t="shared" si="13"/>
        <v>42576.21387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359.94519</f>
        <v>359.94519000000003</v>
      </c>
      <c r="G116" s="22">
        <f>30963.17098</f>
        <v>30963.170979999999</v>
      </c>
      <c r="H116" s="22">
        <f>E116-G116</f>
        <v>25486.829020000001</v>
      </c>
      <c r="I116" s="22">
        <f>37740.54372</f>
        <v>37740.543720000001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3524.33714</f>
        <v>3524.3371400000001</v>
      </c>
      <c r="H117" s="22">
        <f>E117-G117</f>
        <v>10540.66286</v>
      </c>
      <c r="I117" s="22">
        <f>4770.22</f>
        <v>4770.22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545.4367</f>
        <v>545.43669999999997</v>
      </c>
      <c r="G119" s="92">
        <f>27191.0043+2386.2419</f>
        <v>29577.246200000001</v>
      </c>
      <c r="H119" s="92">
        <f>E119-G119</f>
        <v>21852.753799999999</v>
      </c>
      <c r="I119" s="92">
        <f>14253.966</f>
        <v>14253.966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699.06876</v>
      </c>
      <c r="G120" s="91">
        <f t="shared" ref="G120" si="14">G121+G126+G129</f>
        <v>39330.775829999999</v>
      </c>
      <c r="H120" s="91">
        <f>H121+H126+H129</f>
        <v>35714.224170000001</v>
      </c>
      <c r="I120" s="91">
        <f>I121+I126+I129</f>
        <v>57021.381139999998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625.24287000000004</v>
      </c>
      <c r="G121" s="121">
        <f>G122+G123+G125+G124</f>
        <v>29171.020080000002</v>
      </c>
      <c r="H121" s="121">
        <f>H122+H123+H124+H125</f>
        <v>27187.979920000002</v>
      </c>
      <c r="I121" s="121">
        <f>I122+I123+I124+I125</f>
        <v>43184.997790000001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106.91009</f>
        <v>106.91009</v>
      </c>
      <c r="G122" s="123">
        <f>6984.94175</f>
        <v>6984.94175</v>
      </c>
      <c r="H122" s="123">
        <f>E122-G122</f>
        <v>9031.05825</v>
      </c>
      <c r="I122" s="123">
        <f>8123.92742</f>
        <v>8123.92742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74.89817</f>
        <v>74.898169999999993</v>
      </c>
      <c r="G123" s="123">
        <f>8587.22709-85.0799</f>
        <v>8502.1471899999997</v>
      </c>
      <c r="H123" s="123">
        <f>E123-G123</f>
        <v>6351.8528100000003</v>
      </c>
      <c r="I123" s="123">
        <f>11574.24122</f>
        <v>11574.24122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160.03305</f>
        <v>160.03305</v>
      </c>
      <c r="G124" s="123">
        <f>7501.09752-366.186</f>
        <v>7134.9115200000006</v>
      </c>
      <c r="H124" s="123">
        <f>E124-G124</f>
        <v>5737.0884799999994</v>
      </c>
      <c r="I124" s="123">
        <f>11817.81933</f>
        <v>11817.81933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283.40156</f>
        <v>283.40156000000002</v>
      </c>
      <c r="G125" s="123">
        <f>8483.99562-1934.976</f>
        <v>6549.0196199999991</v>
      </c>
      <c r="H125" s="123">
        <f>E125-G125</f>
        <v>6067.9803800000009</v>
      </c>
      <c r="I125" s="123">
        <f>11669.00982</f>
        <v>11669.009819999999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7.9716300000000002</v>
      </c>
      <c r="G126" s="129">
        <f>SUM(G127:G128)</f>
        <v>5963.3986800000002</v>
      </c>
      <c r="H126" s="129">
        <f>H127+H128</f>
        <v>1778.6013199999998</v>
      </c>
      <c r="I126" s="129">
        <f>SUM(I127:I128)</f>
        <v>8896.4958700000007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5803.43569</f>
        <v>5803.4356900000002</v>
      </c>
      <c r="H127" s="123">
        <f t="shared" ref="H127:H135" si="15">E127-G127</f>
        <v>1438.5643099999998</v>
      </c>
      <c r="I127" s="123">
        <f>8471.01749</f>
        <v>8471.0174900000002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7.97163</f>
        <v>7.9716300000000002</v>
      </c>
      <c r="G128" s="123">
        <f>159.96299</f>
        <v>159.96298999999999</v>
      </c>
      <c r="H128" s="123">
        <f t="shared" si="15"/>
        <v>340.03701000000001</v>
      </c>
      <c r="I128" s="123">
        <f>425.47838</f>
        <v>425.47838000000002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65.85426</f>
        <v>65.854259999999996</v>
      </c>
      <c r="G129" s="72">
        <f>4196.35707</f>
        <v>4196.35707</v>
      </c>
      <c r="H129" s="72">
        <f t="shared" si="15"/>
        <v>6747.64293</v>
      </c>
      <c r="I129" s="72">
        <f>4939.88748</f>
        <v>4939.8874800000003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5.11104</f>
        <v>5.11104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</f>
        <v>0</v>
      </c>
      <c r="G134" s="95">
        <f>87.5696</f>
        <v>87.569599999999994</v>
      </c>
      <c r="H134" s="136">
        <f t="shared" si="15"/>
        <v>225.43040000000002</v>
      </c>
      <c r="I134" s="95">
        <f>45.40243</f>
        <v>45.402430000000003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0.123</f>
        <v>0.123</v>
      </c>
      <c r="G135" s="136">
        <f>85.40528</f>
        <v>85.405280000000005</v>
      </c>
      <c r="H135" s="136">
        <f t="shared" si="15"/>
        <v>-85.405280000000005</v>
      </c>
      <c r="I135" s="136">
        <f>114.40754</f>
        <v>114.40754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1609.68469</v>
      </c>
      <c r="G137" s="73">
        <f>G115+G119+G120+G130+G131+G132+G133+G134+G135</f>
        <v>105651.31413000001</v>
      </c>
      <c r="H137" s="73">
        <f>H115+H119+H120+H130+H131+H132+H133+H134+H135</f>
        <v>94647.685869999987</v>
      </c>
      <c r="I137" s="73">
        <f>I115+I119+I120+I130+I131+I132+I133+I134+I135</f>
        <v>116283.11953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40.57741</f>
        <v>40.57741</v>
      </c>
      <c r="F160" s="297">
        <f>851.20623</f>
        <v>851.20623000000001</v>
      </c>
      <c r="G160" s="42">
        <f>D160-F160-F161</f>
        <v>1700.4019600000001</v>
      </c>
      <c r="H160" s="297">
        <f>846.0098</f>
        <v>846.00980000000004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4.75668</f>
        <v>4.7566800000000002</v>
      </c>
      <c r="F161" s="148">
        <f>1210.39181</f>
        <v>1210.3918100000001</v>
      </c>
      <c r="G161" s="219"/>
      <c r="H161" s="148">
        <f>1377.89105</f>
        <v>1377.89105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5.80934</f>
        <v>5.8093399999999997</v>
      </c>
      <c r="F162" s="166">
        <f>86.20474</f>
        <v>86.204740000000001</v>
      </c>
      <c r="G162" s="166">
        <f>D162-F162</f>
        <v>113.79526</v>
      </c>
      <c r="H162" s="166">
        <f>82.49204</f>
        <v>82.492040000000003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49.413539999999998</v>
      </c>
      <c r="F163" s="175">
        <f>F164+F165+F166</f>
        <v>5217.4633199999989</v>
      </c>
      <c r="G163" s="175">
        <f>D163-F163</f>
        <v>424.53668000000107</v>
      </c>
      <c r="H163" s="175">
        <f>H164+H165+H166</f>
        <v>5879.3702000000003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23.42812</f>
        <v>23.42812</v>
      </c>
      <c r="F164" s="123">
        <f>2975.53289</f>
        <v>2975.53289</v>
      </c>
      <c r="G164" s="123"/>
      <c r="H164" s="123">
        <f>3077.5083</f>
        <v>3077.5083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19.92104</f>
        <v>19.921040000000001</v>
      </c>
      <c r="F165" s="123">
        <f>1503.36755</f>
        <v>1503.3675499999999</v>
      </c>
      <c r="G165" s="123"/>
      <c r="H165" s="123">
        <f>1768.91415</f>
        <v>1768.9141500000001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6.06438</f>
        <v>6.0643799999999999</v>
      </c>
      <c r="F166" s="186">
        <f>738.56288</f>
        <v>738.56287999999995</v>
      </c>
      <c r="G166" s="186"/>
      <c r="H166" s="186">
        <f>1032.94775</f>
        <v>1032.94775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100.55697000000001</v>
      </c>
      <c r="F169" s="188">
        <f>F160+F161+F162+F163+F167+F168</f>
        <v>7370.6191999999992</v>
      </c>
      <c r="G169" s="188">
        <f>D169-F169</f>
        <v>2304.3808000000008</v>
      </c>
      <c r="H169" s="188">
        <f>H160+H161+H162+H163+H167+H168</f>
        <v>8185.7630900000004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6.05949</f>
        <v>6.0594900000000003</v>
      </c>
      <c r="G189" s="124">
        <f>42247.90543</f>
        <v>42247.905429999999</v>
      </c>
      <c r="H189" s="124">
        <f>D189-G189</f>
        <v>1894.0945700000011</v>
      </c>
      <c r="I189" s="124">
        <f>38698.21928</f>
        <v>38698.219279999998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2.0619</f>
        <v>2.0619000000000001</v>
      </c>
      <c r="G190" s="124">
        <f>34.66554</f>
        <v>34.66554</v>
      </c>
      <c r="H190" s="124">
        <f>D190-G190</f>
        <v>65.334460000000007</v>
      </c>
      <c r="I190" s="124">
        <f>29.65676</f>
        <v>29.656759999999998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8.1213899999999999</v>
      </c>
      <c r="G192" s="190">
        <f>SUM(G189:G191)</f>
        <v>42282.570970000001</v>
      </c>
      <c r="H192" s="190">
        <f>D192-G192</f>
        <v>1995.4290299999993</v>
      </c>
      <c r="I192" s="190">
        <f>SUM(I189:I191)</f>
        <v>38727.876039999996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32.54016</v>
      </c>
      <c r="F202" s="72">
        <f>F203+F204</f>
        <v>3200.1645699999999</v>
      </c>
      <c r="G202" s="72">
        <f>D202-F202</f>
        <v>786.83543000000009</v>
      </c>
      <c r="H202" s="72">
        <f>H203+H204</f>
        <v>3876.2421199999999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25.37791</f>
        <v>25.37791</v>
      </c>
      <c r="F203" s="72">
        <f>2598.26629</f>
        <v>2598.26629</v>
      </c>
      <c r="G203" s="72"/>
      <c r="H203" s="72">
        <f>3358.30011</f>
        <v>3358.3001100000001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7.16225</f>
        <v>7.1622500000000002</v>
      </c>
      <c r="F204" s="124">
        <f>601.89828</f>
        <v>601.89828</v>
      </c>
      <c r="G204" s="168"/>
      <c r="H204" s="124">
        <f>517.94201</f>
        <v>517.94200999999998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33.17508</f>
        <v>33.175080000000001</v>
      </c>
      <c r="F205" s="72">
        <f>4243.82541</f>
        <v>4243.8254100000004</v>
      </c>
      <c r="G205" s="72">
        <f>D205-F205</f>
        <v>369.17458999999963</v>
      </c>
      <c r="H205" s="72">
        <f>4991.61381</f>
        <v>4991.6138099999998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65.715239999999994</v>
      </c>
      <c r="F206" s="190">
        <f>SUM(F202,F205)</f>
        <v>7443.9899800000003</v>
      </c>
      <c r="G206" s="190">
        <f>D206-F206</f>
        <v>1156.0100199999997</v>
      </c>
      <c r="H206" s="190">
        <f>SUM(H202,H205)</f>
        <v>8867.8559299999997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59.98462</v>
      </c>
      <c r="F215" s="72">
        <f>F216+F217</f>
        <v>4159.4809599999999</v>
      </c>
      <c r="G215" s="72">
        <f>D215-F215</f>
        <v>930.51904000000013</v>
      </c>
      <c r="H215" s="72">
        <f>H216+H217</f>
        <v>4726.4762200000005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57.41582</f>
        <v>57.415819999999997</v>
      </c>
      <c r="F216" s="72">
        <f>3839.80962</f>
        <v>3839.80962</v>
      </c>
      <c r="G216" s="72"/>
      <c r="H216" s="72">
        <f>4291.45769</f>
        <v>4291.4576900000002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2.5688</f>
        <v>2.5688</v>
      </c>
      <c r="F217" s="124">
        <f>319.67134</f>
        <v>319.67133999999999</v>
      </c>
      <c r="G217" s="168"/>
      <c r="H217" s="124">
        <f>435.01853</f>
        <v>435.01853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36.59558</f>
        <v>36.595579999999998</v>
      </c>
      <c r="F218" s="72">
        <f>1883.86001</f>
        <v>1883.8600100000001</v>
      </c>
      <c r="G218" s="72">
        <f>D218-F218</f>
        <v>1097.1399899999999</v>
      </c>
      <c r="H218" s="72">
        <f>2326.26201</f>
        <v>2326.2620099999999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96.580199999999991</v>
      </c>
      <c r="F219" s="190">
        <f>SUM(F215,F218)</f>
        <v>6043.3409700000002</v>
      </c>
      <c r="G219" s="190">
        <f>D219-F219</f>
        <v>2027.6590299999998</v>
      </c>
      <c r="H219" s="190">
        <f>SUM(H215,H218)</f>
        <v>7052.7382300000008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43.4327</f>
        <v>43.432699999999997</v>
      </c>
      <c r="F237" s="124">
        <f>386.93168</f>
        <v>386.93167999999997</v>
      </c>
      <c r="G237" s="124">
        <f>D237-F237</f>
        <v>413.06832000000003</v>
      </c>
      <c r="H237" s="124">
        <f>464.7312</f>
        <v>464.7312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34.58325</f>
        <v>34.58325</v>
      </c>
      <c r="F238" s="124">
        <f>873.15524</f>
        <v>873.15524000000005</v>
      </c>
      <c r="G238" s="124">
        <f>D238-F238</f>
        <v>1319.84476</v>
      </c>
      <c r="H238" s="124">
        <f>1777.63554</f>
        <v>1777.63554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0.73278</f>
        <v>0.73277999999999999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</f>
        <v>0</v>
      </c>
      <c r="F240" s="168">
        <f>2.64853</f>
        <v>2.6485300000000001</v>
      </c>
      <c r="G240" s="124">
        <f>D240-F240</f>
        <v>-2.6485300000000001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78.748730000000009</v>
      </c>
      <c r="F241" s="190">
        <f>SUM(F237:F240)</f>
        <v>1265.7891499999998</v>
      </c>
      <c r="G241" s="190">
        <f>D241-F241</f>
        <v>1737.2108500000002</v>
      </c>
      <c r="H241" s="190">
        <f>H237+H238+H239+H240</f>
        <v>2246.06736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2722.65859</v>
      </c>
      <c r="G262" s="276">
        <f t="shared" si="17"/>
        <v>12437.402020000001</v>
      </c>
      <c r="H262" s="276">
        <f>H266+H265+H264+H263</f>
        <v>15298.597979999999</v>
      </c>
      <c r="I262" s="276">
        <f t="shared" si="17"/>
        <v>11483.621510000001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2265.47588</f>
        <v>2265.47588</v>
      </c>
      <c r="G263" s="280">
        <f>6433.15567</f>
        <v>6433.1556700000001</v>
      </c>
      <c r="H263" s="280">
        <f t="shared" ref="H263:H267" si="18">E263-G263</f>
        <v>10236.84433</v>
      </c>
      <c r="I263" s="280">
        <f>6393.76602</f>
        <v>6393.76602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381.17115</f>
        <v>381.17115000000001</v>
      </c>
      <c r="G264" s="280">
        <f>1767.45456</f>
        <v>1767.4545599999999</v>
      </c>
      <c r="H264" s="280">
        <f t="shared" si="18"/>
        <v>2571.5454399999999</v>
      </c>
      <c r="I264" s="280">
        <f>1542.79621</f>
        <v>1542.79621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60.03396</f>
        <v>60.03396</v>
      </c>
      <c r="G265" s="280">
        <f>1324.2276</f>
        <v>1324.2275999999999</v>
      </c>
      <c r="H265" s="280">
        <f t="shared" si="18"/>
        <v>246.77240000000006</v>
      </c>
      <c r="I265" s="280">
        <f>1502.89462</f>
        <v>1502.89462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15.9776</f>
        <v>15.977600000000001</v>
      </c>
      <c r="G266" s="280">
        <f>2912.56419</f>
        <v>2912.5641900000001</v>
      </c>
      <c r="H266" s="280">
        <f t="shared" si="18"/>
        <v>2243.4358099999999</v>
      </c>
      <c r="I266" s="280">
        <f>2044.16466</f>
        <v>2044.1646599999999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1.43</f>
        <v>1.43</v>
      </c>
      <c r="G267" s="290">
        <f>4099.69324</f>
        <v>4099.6932399999996</v>
      </c>
      <c r="H267" s="290">
        <f t="shared" si="18"/>
        <v>1400.3067600000004</v>
      </c>
      <c r="I267" s="290">
        <f>2090.64478</f>
        <v>2090.6447800000001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143.67112</v>
      </c>
      <c r="G268" s="291">
        <f>G270+G269</f>
        <v>2076.8422700000001</v>
      </c>
      <c r="H268" s="291">
        <f>E268-G268</f>
        <v>5923.1577299999999</v>
      </c>
      <c r="I268" s="291">
        <f>I270+I269</f>
        <v>2350.8268699999999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503.44023</f>
        <v>503.44022999999999</v>
      </c>
      <c r="H269" s="280"/>
      <c r="I269" s="280">
        <f>764.20998</f>
        <v>764.20997999999997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143.67112</f>
        <v>143.67112</v>
      </c>
      <c r="G270" s="299">
        <f>1573.40204</f>
        <v>1573.4020399999999</v>
      </c>
      <c r="H270" s="299"/>
      <c r="I270" s="299">
        <f>1586.61689</f>
        <v>1586.61689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0.32112</f>
        <v>0.32112000000000002</v>
      </c>
      <c r="G272" s="290">
        <f>158.31013</f>
        <v>158.31012999999999</v>
      </c>
      <c r="H272" s="290">
        <f>E272-G272</f>
        <v>-158.31012999999999</v>
      </c>
      <c r="I272" s="290">
        <f>102.7544</f>
        <v>102.7544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2868.0808299999999</v>
      </c>
      <c r="G273" s="308">
        <f t="shared" si="19"/>
        <v>18772.816160000006</v>
      </c>
      <c r="H273" s="308">
        <f>H262+H267+H268+H271+H272</f>
        <v>22476.183839999994</v>
      </c>
      <c r="I273" s="308">
        <f t="shared" si="19"/>
        <v>16027.963960000001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thickBot="1" x14ac:dyDescent="0.3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thickBot="1" x14ac:dyDescent="0.3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thickBot="1" x14ac:dyDescent="0.3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35.965000000000003</v>
      </c>
      <c r="F294" s="25">
        <f>SUM(F295:F296)</f>
        <v>532.43015000000003</v>
      </c>
      <c r="G294" s="82">
        <f>D294-F294</f>
        <v>246.56984999999997</v>
      </c>
      <c r="H294" s="25">
        <f>SUM(H295:H296)</f>
        <v>561.77427999999998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26.7678</f>
        <v>26.767800000000001</v>
      </c>
      <c r="F295" s="198">
        <f>409.02765</f>
        <v>409.02764999999999</v>
      </c>
      <c r="G295" s="199"/>
      <c r="H295" s="198">
        <f>441.53308</f>
        <v>441.53307999999998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9.1972</f>
        <v>9.1972000000000005</v>
      </c>
      <c r="F296" s="202">
        <f>123.4025</f>
        <v>123.4025</v>
      </c>
      <c r="G296" s="203"/>
      <c r="H296" s="202">
        <f>120.2412</f>
        <v>120.24120000000001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35.965000000000003</v>
      </c>
      <c r="F304" s="39">
        <f>F294+F297+F300+F303</f>
        <v>532.43015000000003</v>
      </c>
      <c r="G304" s="40">
        <f>D304-F304</f>
        <v>1805.5698499999999</v>
      </c>
      <c r="H304" s="39">
        <f>H294+H297+H300+H303</f>
        <v>561.77427999999998</v>
      </c>
      <c r="I304" s="26"/>
      <c r="J304" s="127"/>
    </row>
    <row r="305" spans="1:10" ht="42" customHeight="1" x14ac:dyDescent="0.2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5.58417</f>
        <v>5.5841700000000003</v>
      </c>
      <c r="F322" s="29">
        <f>849.92614</f>
        <v>849.92614000000003</v>
      </c>
      <c r="G322" s="238">
        <f>D322-F322</f>
        <v>-601.92614000000003</v>
      </c>
      <c r="H322" s="29">
        <f>410.09132</f>
        <v>410.09132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116.11988</f>
        <v>116.11987999999999</v>
      </c>
      <c r="F323" s="29">
        <f>1262.98091</f>
        <v>1262.98091</v>
      </c>
      <c r="G323" s="241">
        <f>D323-F323</f>
        <v>20785.019090000002</v>
      </c>
      <c r="H323" s="29">
        <f>1739.54243</f>
        <v>1739.54243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121.70405</v>
      </c>
      <c r="F324" s="39">
        <f>F323+F322</f>
        <v>2112.9070499999998</v>
      </c>
      <c r="G324" s="39">
        <f>G323+G322</f>
        <v>20183.092950000002</v>
      </c>
      <c r="H324" s="39">
        <f>H323+H322</f>
        <v>2149.63375</v>
      </c>
      <c r="I324" s="26"/>
      <c r="J324" s="127"/>
    </row>
    <row r="325" spans="1:10" ht="22.5" customHeight="1" x14ac:dyDescent="0.2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34&amp;R25.08.2025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2025-09-04T07:47:37Z</dcterms:modified>
</cp:coreProperties>
</file>