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42C26810-BE94-4EEC-BAB1-CCBAEFC81F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8" i="1" l="1"/>
  <c r="G133" i="1"/>
  <c r="G132" i="1"/>
  <c r="H419" i="1" l="1"/>
  <c r="F419" i="1"/>
  <c r="E419" i="1"/>
  <c r="H418" i="1"/>
  <c r="H417" i="1" s="1"/>
  <c r="F418" i="1"/>
  <c r="F417" i="1" s="1"/>
  <c r="E418" i="1"/>
  <c r="E417" i="1"/>
  <c r="H416" i="1"/>
  <c r="F416" i="1"/>
  <c r="E416" i="1"/>
  <c r="E414" i="1" s="1"/>
  <c r="H415" i="1"/>
  <c r="H414" i="1" s="1"/>
  <c r="F415" i="1"/>
  <c r="E415" i="1"/>
  <c r="F414" i="1"/>
  <c r="H413" i="1"/>
  <c r="F413" i="1"/>
  <c r="F411" i="1" s="1"/>
  <c r="F421" i="1" s="1"/>
  <c r="E413" i="1"/>
  <c r="E411" i="1" s="1"/>
  <c r="H412" i="1"/>
  <c r="F412" i="1"/>
  <c r="E412" i="1"/>
  <c r="H411" i="1"/>
  <c r="I388" i="1"/>
  <c r="G388" i="1"/>
  <c r="H388" i="1" s="1"/>
  <c r="F388" i="1"/>
  <c r="I387" i="1"/>
  <c r="H387" i="1"/>
  <c r="G387" i="1"/>
  <c r="F387" i="1"/>
  <c r="I386" i="1"/>
  <c r="I384" i="1" s="1"/>
  <c r="G386" i="1"/>
  <c r="F386" i="1"/>
  <c r="F384" i="1" s="1"/>
  <c r="I385" i="1"/>
  <c r="G385" i="1"/>
  <c r="F385" i="1"/>
  <c r="H384" i="1"/>
  <c r="G384" i="1"/>
  <c r="I383" i="1"/>
  <c r="H383" i="1"/>
  <c r="G383" i="1"/>
  <c r="F383" i="1"/>
  <c r="I382" i="1"/>
  <c r="H382" i="1"/>
  <c r="G382" i="1"/>
  <c r="F382" i="1"/>
  <c r="I381" i="1"/>
  <c r="I378" i="1" s="1"/>
  <c r="I389" i="1" s="1"/>
  <c r="H381" i="1"/>
  <c r="H378" i="1" s="1"/>
  <c r="G381" i="1"/>
  <c r="F381" i="1"/>
  <c r="F378" i="1" s="1"/>
  <c r="F389" i="1" s="1"/>
  <c r="I380" i="1"/>
  <c r="H380" i="1"/>
  <c r="G380" i="1"/>
  <c r="F380" i="1"/>
  <c r="I379" i="1"/>
  <c r="H379" i="1"/>
  <c r="G379" i="1"/>
  <c r="F379" i="1"/>
  <c r="G378" i="1"/>
  <c r="G389" i="1" s="1"/>
  <c r="E378" i="1"/>
  <c r="E389" i="1" s="1"/>
  <c r="D378" i="1"/>
  <c r="D389" i="1" s="1"/>
  <c r="H370" i="1"/>
  <c r="F370" i="1"/>
  <c r="D352" i="1"/>
  <c r="G352" i="1" s="1"/>
  <c r="H351" i="1"/>
  <c r="F351" i="1"/>
  <c r="E351" i="1"/>
  <c r="H350" i="1"/>
  <c r="G350" i="1"/>
  <c r="F350" i="1"/>
  <c r="E350" i="1"/>
  <c r="H349" i="1"/>
  <c r="G349" i="1"/>
  <c r="F349" i="1"/>
  <c r="E349" i="1"/>
  <c r="H348" i="1"/>
  <c r="H352" i="1" s="1"/>
  <c r="G348" i="1"/>
  <c r="F348" i="1"/>
  <c r="F352" i="1" s="1"/>
  <c r="E348" i="1"/>
  <c r="E352" i="1" s="1"/>
  <c r="D341" i="1"/>
  <c r="H297" i="1"/>
  <c r="H296" i="1"/>
  <c r="F296" i="1"/>
  <c r="E296" i="1"/>
  <c r="H295" i="1"/>
  <c r="F295" i="1"/>
  <c r="F297" i="1" s="1"/>
  <c r="G297" i="1" s="1"/>
  <c r="E295" i="1"/>
  <c r="H294" i="1"/>
  <c r="F294" i="1"/>
  <c r="E294" i="1"/>
  <c r="E297" i="1" s="1"/>
  <c r="E252" i="1"/>
  <c r="H251" i="1"/>
  <c r="F251" i="1"/>
  <c r="E251" i="1"/>
  <c r="H250" i="1"/>
  <c r="F250" i="1"/>
  <c r="E250" i="1"/>
  <c r="H249" i="1"/>
  <c r="H252" i="1" s="1"/>
  <c r="F249" i="1"/>
  <c r="F252" i="1" s="1"/>
  <c r="G252" i="1" s="1"/>
  <c r="E249" i="1"/>
  <c r="F207" i="1"/>
  <c r="G207" i="1" s="1"/>
  <c r="D207" i="1"/>
  <c r="G206" i="1"/>
  <c r="H205" i="1"/>
  <c r="F205" i="1"/>
  <c r="G205" i="1" s="1"/>
  <c r="E205" i="1"/>
  <c r="H204" i="1"/>
  <c r="H207" i="1" s="1"/>
  <c r="G204" i="1"/>
  <c r="F204" i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H184" i="1" s="1"/>
  <c r="F179" i="1"/>
  <c r="F178" i="1" s="1"/>
  <c r="G178" i="1" s="1"/>
  <c r="E179" i="1"/>
  <c r="E178" i="1"/>
  <c r="H177" i="1"/>
  <c r="F177" i="1"/>
  <c r="G177" i="1" s="1"/>
  <c r="E177" i="1"/>
  <c r="H176" i="1"/>
  <c r="F176" i="1"/>
  <c r="E176" i="1"/>
  <c r="H175" i="1"/>
  <c r="F175" i="1"/>
  <c r="E175" i="1"/>
  <c r="E184" i="1" s="1"/>
  <c r="D150" i="1"/>
  <c r="I148" i="1"/>
  <c r="G148" i="1"/>
  <c r="F148" i="1"/>
  <c r="I147" i="1"/>
  <c r="G147" i="1"/>
  <c r="H147" i="1" s="1"/>
  <c r="F147" i="1"/>
  <c r="H146" i="1"/>
  <c r="H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H139" i="1" s="1"/>
  <c r="G141" i="1"/>
  <c r="F141" i="1"/>
  <c r="I140" i="1"/>
  <c r="H140" i="1"/>
  <c r="G140" i="1"/>
  <c r="G139" i="1" s="1"/>
  <c r="F140" i="1"/>
  <c r="I139" i="1"/>
  <c r="F139" i="1"/>
  <c r="E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F134" i="1"/>
  <c r="F133" i="1" s="1"/>
  <c r="E134" i="1"/>
  <c r="E133" i="1" s="1"/>
  <c r="E150" i="1" s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I128" i="1" s="1"/>
  <c r="I150" i="1" s="1"/>
  <c r="G129" i="1"/>
  <c r="H129" i="1" s="1"/>
  <c r="F129" i="1"/>
  <c r="F128" i="1" s="1"/>
  <c r="F150" i="1" s="1"/>
  <c r="G128" i="1"/>
  <c r="E128" i="1"/>
  <c r="C126" i="1"/>
  <c r="H106" i="1"/>
  <c r="I105" i="1"/>
  <c r="H105" i="1"/>
  <c r="G105" i="1"/>
  <c r="F105" i="1"/>
  <c r="H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I96" i="1" s="1"/>
  <c r="I95" i="1" s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G96" i="1" s="1"/>
  <c r="G95" i="1" s="1"/>
  <c r="F97" i="1"/>
  <c r="H96" i="1"/>
  <c r="H95" i="1" s="1"/>
  <c r="F96" i="1"/>
  <c r="E96" i="1"/>
  <c r="E95" i="1" s="1"/>
  <c r="E107" i="1" s="1"/>
  <c r="D96" i="1"/>
  <c r="D95" i="1" s="1"/>
  <c r="D107" i="1" s="1"/>
  <c r="F95" i="1"/>
  <c r="I94" i="1"/>
  <c r="H94" i="1"/>
  <c r="G94" i="1"/>
  <c r="F94" i="1"/>
  <c r="I93" i="1"/>
  <c r="I92" i="1" s="1"/>
  <c r="H93" i="1"/>
  <c r="H92" i="1" s="1"/>
  <c r="G93" i="1"/>
  <c r="F93" i="1"/>
  <c r="F92" i="1" s="1"/>
  <c r="F107" i="1" s="1"/>
  <c r="G92" i="1"/>
  <c r="G107" i="1" s="1"/>
  <c r="E92" i="1"/>
  <c r="C89" i="1"/>
  <c r="H85" i="1"/>
  <c r="F85" i="1"/>
  <c r="D85" i="1"/>
  <c r="G61" i="1"/>
  <c r="G60" i="1"/>
  <c r="H55" i="1"/>
  <c r="F55" i="1"/>
  <c r="G55" i="1" s="1"/>
  <c r="E55" i="1"/>
  <c r="F32" i="1" s="1"/>
  <c r="F27" i="1" s="1"/>
  <c r="E44" i="1"/>
  <c r="D44" i="1"/>
  <c r="H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F34" i="1" s="1"/>
  <c r="I34" i="1"/>
  <c r="I33" i="1"/>
  <c r="G33" i="1"/>
  <c r="H33" i="1" s="1"/>
  <c r="F33" i="1"/>
  <c r="I32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I27" i="1" s="1"/>
  <c r="I26" i="1" s="1"/>
  <c r="G28" i="1"/>
  <c r="H28" i="1" s="1"/>
  <c r="F28" i="1"/>
  <c r="I25" i="1"/>
  <c r="G25" i="1"/>
  <c r="H25" i="1" s="1"/>
  <c r="H23" i="1" s="1"/>
  <c r="F25" i="1"/>
  <c r="I24" i="1"/>
  <c r="I23" i="1" s="1"/>
  <c r="G24" i="1"/>
  <c r="H24" i="1" s="1"/>
  <c r="F24" i="1"/>
  <c r="F23" i="1"/>
  <c r="H16" i="1"/>
  <c r="F16" i="1"/>
  <c r="D16" i="1"/>
  <c r="H134" i="1" l="1"/>
  <c r="H133" i="1" s="1"/>
  <c r="F44" i="1"/>
  <c r="F26" i="1"/>
  <c r="G34" i="1"/>
  <c r="H34" i="1" s="1"/>
  <c r="H389" i="1"/>
  <c r="H107" i="1"/>
  <c r="H421" i="1"/>
  <c r="I44" i="1"/>
  <c r="I107" i="1"/>
  <c r="H27" i="1"/>
  <c r="F184" i="1"/>
  <c r="G184" i="1" s="1"/>
  <c r="H128" i="1"/>
  <c r="E421" i="1"/>
  <c r="G134" i="1"/>
  <c r="G150" i="1" s="1"/>
  <c r="G175" i="1"/>
  <c r="G23" i="1"/>
  <c r="G27" i="1"/>
  <c r="H150" i="1" l="1"/>
  <c r="H26" i="1"/>
  <c r="H44" i="1" s="1"/>
  <c r="G26" i="1"/>
  <c r="G44" i="1" s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<sst xmlns="http://schemas.openxmlformats.org/spreadsheetml/2006/main" count="358" uniqueCount="150">
  <si>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</si>
  <si>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</si>
  <si>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</si>
  <si>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</si>
  <si>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</si>
  <si>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</si>
  <si>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</si>
  <si>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</si>
  <si>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</si>
  <si>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</si>
  <si>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</si>
  <si>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</si>
  <si>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</si>
  <si>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</si>
  <si>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</si>
  <si>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</si>
  <si>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</si>
  <si>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</si>
  <si>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</si>
  <si>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</si>
  <si>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</si>
  <si>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</si>
  <si>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</si>
  <si>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</si>
  <si>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</si>
  <si>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</si>
  <si>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</si>
  <si>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</si>
  <si>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</si>
  <si>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</si>
  <si>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</si>
  <si>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</si>
  <si>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</si>
  <si>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</si>
  <si>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</si>
  <si>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</si>
  <si>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</si>
  <si>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</si>
  <si>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</si>
  <si>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</si>
  <si>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</si>
  <si>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</si>
  <si>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</si>
  <si>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</si>
  <si>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</si>
  <si>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</si>
  <si>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</si>
  <si>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</si>
  <si>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</si>
  <si>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</si>
  <si>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</si>
  <si>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</si>
  <si>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</si>
  <si>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</si>
  <si>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</si>
  <si>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</si>
  <si>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</si>
  <si>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</si>
  <si>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</si>
  <si>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</si>
  <si>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</si>
  <si>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</si>
  <si>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</si>
  <si>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</si>
  <si>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</si>
  <si>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</si>
  <si>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</si>
  <si>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</si>
  <si>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</si>
  <si>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</si>
  <si>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</si>
  <si>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</si>
  <si>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</si>
  <si>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</si>
  <si>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</si>
  <si>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</si>
  <si>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</si>
  <si>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</si>
  <si>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</si>
  <si>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</si>
  <si>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</si>
  <si>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</si>
  <si>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</si>
  <si>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</si>
  <si>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</si>
  <si>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</si>
  <si>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</si>
  <si>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</si>
  <si>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</si>
  <si>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</si>
  <si>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</si>
  <si>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</si>
  <si>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</si>
  <si>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</si>
  <si>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</si>
  <si>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</si>
  <si>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</si>
  <si>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</si>
  <si>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</si>
  <si>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</si>
  <si>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</si>
  <si>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</si>
  <si>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</si>
  <si>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</si>
  <si>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</si>
  <si>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</si>
  <si>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</si>
  <si>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</si>
  <si>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</si>
  <si>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</si>
  <si>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</si>
  <si>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</si>
  <si>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</si>
  <si>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</si>
  <si>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</si>
  <si>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</si>
  <si>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</si>
  <si>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</si>
  <si>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</si>
  <si>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</si>
  <si>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</si>
  <si>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</si>
  <si>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</si>
  <si>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</si>
  <si>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</si>
  <si>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</si>
  <si>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</si>
  <si>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</si>
  <si>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</si>
  <si>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</si>
  <si>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</si>
  <si>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</si>
  <si>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</si>
  <si>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</si>
  <si>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</si>
  <si>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</si>
  <si>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</si>
  <si>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</si>
  <si>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</si>
  <si>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</si>
  <si>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</si>
  <si>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</si>
  <si>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46</t>
  </si>
  <si>
    <t>FANGST T.O.M UKE 46</t>
  </si>
  <si>
    <t>RESTKVOTER UKE 46</t>
  </si>
  <si>
    <t>FANGST T.O.M UKE 46 2022</t>
  </si>
  <si>
    <r>
      <t xml:space="preserve">3 </t>
    </r>
    <r>
      <rPr>
        <sz val="9"/>
        <color indexed="8"/>
        <rFont val="Calibri"/>
        <family val="2"/>
      </rPr>
      <t>Registrert rekreasjonsfiske utgjør 727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</si>
  <si>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69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</si>
  <si>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695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</si>
  <si>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7 500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</si>
</sst>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topLeftCell="A117" zoomScale="85" zoomScaleNormal="85" zoomScaleSheetLayoutView="100" zoomScalePageLayoutView="85" workbookViewId="0">
      <selection activeCell="F137" sqref="F137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139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1337.3577</v>
      </c>
      <c r="G23" s="28">
        <f t="shared" si="0"/>
        <v>75339.241890000005</v>
      </c>
      <c r="H23" s="11">
        <f t="shared" si="0"/>
        <v>11487.758109999999</v>
      </c>
      <c r="I23" s="11">
        <f t="shared" si="0"/>
        <v>88618.154640000008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1337.3577</f>
        <v>1337.3577</v>
      </c>
      <c r="G24" s="23">
        <f>74677.54604</f>
        <v>74677.546040000001</v>
      </c>
      <c r="H24" s="23">
        <f>E24-G24</f>
        <v>11367.453959999999</v>
      </c>
      <c r="I24" s="23">
        <f>88015.52584</f>
        <v>88015.525840000002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661.69585</f>
        <v>661.69584999999995</v>
      </c>
      <c r="H25" s="23">
        <f>E25-G25</f>
        <v>120.30415000000005</v>
      </c>
      <c r="I25" s="23">
        <f>602.6288</f>
        <v>602.62879999999996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1193.94667</v>
      </c>
      <c r="G26" s="11">
        <f t="shared" si="1"/>
        <v>185287.74911000003</v>
      </c>
      <c r="H26" s="11">
        <f t="shared" si="1"/>
        <v>12282.250890000007</v>
      </c>
      <c r="I26" s="11">
        <f t="shared" si="1"/>
        <v>224871.37686999998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1064.01405</v>
      </c>
      <c r="G27" s="134">
        <f t="shared" ref="G27:I27" si="2">G28+G29+G30+G31+G32</f>
        <v>143336.02545000002</v>
      </c>
      <c r="H27" s="134">
        <f t="shared" si="2"/>
        <v>9314.9745500000063</v>
      </c>
      <c r="I27" s="134">
        <f t="shared" si="2"/>
        <v>180265.90583999999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182.88803</f>
        <v>182.88802999999999</v>
      </c>
      <c r="G28" s="129">
        <f>38297.1944099999 - F57</f>
        <v>35710.194409999996</v>
      </c>
      <c r="H28" s="129">
        <f t="shared" ref="H28:H40" si="3">E28-G28</f>
        <v>3838.8055900000036</v>
      </c>
      <c r="I28" s="129">
        <f>45005.31825 - H57</f>
        <v>41465.318249999997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268.00142</f>
        <v>268.00142</v>
      </c>
      <c r="G29" s="129">
        <f>41492.17454 - F58</f>
        <v>38896.17454</v>
      </c>
      <c r="H29" s="129">
        <f t="shared" si="3"/>
        <v>1867.82546</v>
      </c>
      <c r="I29" s="129">
        <f>50867.86902 - H58</f>
        <v>48561.869019999998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266.1844</f>
        <v>266.18439999999998</v>
      </c>
      <c r="G30" s="129">
        <f>37687.0303 - F59</f>
        <v>36407.030299999999</v>
      </c>
      <c r="H30" s="129">
        <f t="shared" si="3"/>
        <v>859.96970000000147</v>
      </c>
      <c r="I30" s="129">
        <f>48854.8444 - H59</f>
        <v>47477.844400000002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52.9402</f>
        <v>52.940199999999997</v>
      </c>
      <c r="G31" s="129">
        <f>25388.6262 - F60</f>
        <v>24535.626199999999</v>
      </c>
      <c r="H31" s="129">
        <f t="shared" si="3"/>
        <v>871.37380000000121</v>
      </c>
      <c r="I31" s="129">
        <f>34497.87417 - H60</f>
        <v>33813.874170000003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294</v>
      </c>
      <c r="G32" s="129">
        <f>F55</f>
        <v>7787</v>
      </c>
      <c r="H32" s="129">
        <f t="shared" si="3"/>
        <v>1877</v>
      </c>
      <c r="I32" s="129">
        <f>H55</f>
        <v>8947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0.3717</f>
        <v>0.37169999999999997</v>
      </c>
      <c r="G33" s="134">
        <f>20291.00721</f>
        <v>20291.00721</v>
      </c>
      <c r="H33" s="134">
        <f t="shared" si="3"/>
        <v>3294.9927900000002</v>
      </c>
      <c r="I33" s="134">
        <f>23203.25757</f>
        <v>23203.257570000002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129.56092000000001</v>
      </c>
      <c r="G34" s="134">
        <f>G35+G36</f>
        <v>21660.71645</v>
      </c>
      <c r="H34" s="134">
        <f t="shared" si="3"/>
        <v>-327.7164499999999</v>
      </c>
      <c r="I34" s="134">
        <f>I35+I36</f>
        <v>21402.213459999999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85.56092</f>
        <v>85.560919999999996</v>
      </c>
      <c r="G35" s="134">
        <f>25265.71645 - F61 - F62</f>
        <v>20807.71645</v>
      </c>
      <c r="H35" s="129">
        <f t="shared" si="3"/>
        <v>-674.7164499999999</v>
      </c>
      <c r="I35" s="129">
        <f>22401.2134599999 - H61 - H62</f>
        <v>20718.213459999999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44</v>
      </c>
      <c r="G36" s="73">
        <f>F60</f>
        <v>853</v>
      </c>
      <c r="H36" s="73">
        <f t="shared" si="3"/>
        <v>347</v>
      </c>
      <c r="I36" s="73">
        <f>H60</f>
        <v>684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445.0706</f>
        <v>445.07060000000001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10.866</f>
        <v>10.866</v>
      </c>
      <c r="G38" s="100">
        <f>549.67862</f>
        <v>549.67862000000002</v>
      </c>
      <c r="H38" s="100">
        <f t="shared" si="3"/>
        <v>301.32137999999998</v>
      </c>
      <c r="I38" s="100">
        <f>536.07784</f>
        <v>536.07784000000004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9</v>
      </c>
      <c r="G39" s="100">
        <f>F61</f>
        <v>4458</v>
      </c>
      <c r="H39" s="100">
        <f t="shared" si="3"/>
        <v>-1410</v>
      </c>
      <c r="I39" s="100">
        <f>H61</f>
        <v>1683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2.99308</f>
        <v>2.99308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>
        <f>0.7366</f>
        <v>0.73660000000000003</v>
      </c>
      <c r="G41" s="100">
        <f>358.6062</f>
        <v>358.6062</v>
      </c>
      <c r="H41" s="100">
        <f>E41-G41</f>
        <v>-58.606200000000001</v>
      </c>
      <c r="I41" s="100">
        <f>125.72505</f>
        <v>125.72505</v>
      </c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2554.9030499999999</v>
      </c>
      <c r="G44" s="78">
        <f t="shared" si="4"/>
        <v>273819.62842000008</v>
      </c>
      <c r="H44" s="78">
        <f t="shared" si="4"/>
        <v>24876.371579999977</v>
      </c>
      <c r="I44" s="78">
        <f t="shared" si="4"/>
        <v>323400.34342999995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294</v>
      </c>
      <c r="F55" s="11">
        <f>F59+F58+F57+F56</f>
        <v>7787</v>
      </c>
      <c r="G55" s="299">
        <f>D55-F55</f>
        <v>2053</v>
      </c>
      <c r="H55" s="11">
        <f>H59+H58+H57+H56</f>
        <v>8947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>
        <v>101</v>
      </c>
      <c r="F56" s="129">
        <v>1324</v>
      </c>
      <c r="G56" s="300"/>
      <c r="H56" s="129">
        <v>1724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>
        <v>126</v>
      </c>
      <c r="F57" s="129">
        <v>2587</v>
      </c>
      <c r="G57" s="300"/>
      <c r="H57" s="129">
        <v>3540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>
        <v>36</v>
      </c>
      <c r="F58" s="129">
        <v>2596</v>
      </c>
      <c r="G58" s="300"/>
      <c r="H58" s="129">
        <v>2306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>
        <v>31</v>
      </c>
      <c r="F59" s="194">
        <v>1280</v>
      </c>
      <c r="G59" s="301"/>
      <c r="H59" s="194">
        <v>1377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44</v>
      </c>
      <c r="F60" s="97">
        <v>853</v>
      </c>
      <c r="G60" s="97">
        <f>D60-F60</f>
        <v>347</v>
      </c>
      <c r="H60" s="97">
        <v>684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9</v>
      </c>
      <c r="F61" s="141">
        <v>4458</v>
      </c>
      <c r="G61" s="141">
        <f>D61-F61</f>
        <v>-1458</v>
      </c>
      <c r="H61" s="141">
        <v>1683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6" spans="1:10" ht="125.25" customHeight="1" x14ac:dyDescent="0.25"/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396.02010000000001</v>
      </c>
      <c r="G92" s="11">
        <f t="shared" si="5"/>
        <v>46663.258430000002</v>
      </c>
      <c r="H92" s="11">
        <f t="shared" si="5"/>
        <v>-11864.258430000004</v>
      </c>
      <c r="I92" s="11">
        <f t="shared" si="5"/>
        <v>37957.148939999999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396.0201</f>
        <v>396.02010000000001</v>
      </c>
      <c r="G93" s="23">
        <f>45968.62344</f>
        <v>45968.623440000003</v>
      </c>
      <c r="H93" s="23">
        <f>E93-G93</f>
        <v>-11981.623440000003</v>
      </c>
      <c r="I93" s="23">
        <f>37207.06653</f>
        <v>37207.066529999996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694.63499</f>
        <v>694.63499000000002</v>
      </c>
      <c r="H94" s="52">
        <f>E94-G94</f>
        <v>117.36500999999998</v>
      </c>
      <c r="I94" s="52">
        <f>750.08241</f>
        <v>750.08240999999998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631.87849000000006</v>
      </c>
      <c r="G95" s="11">
        <f t="shared" si="6"/>
        <v>37801.637500000004</v>
      </c>
      <c r="H95" s="11">
        <f t="shared" si="6"/>
        <v>21698.362499999999</v>
      </c>
      <c r="I95" s="11">
        <f t="shared" si="6"/>
        <v>40330.294529999999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543.95230000000004</v>
      </c>
      <c r="G96" s="134">
        <f t="shared" si="7"/>
        <v>25220.630549999998</v>
      </c>
      <c r="H96" s="134">
        <f t="shared" si="7"/>
        <v>19270.369449999998</v>
      </c>
      <c r="I96" s="134">
        <f t="shared" si="7"/>
        <v>30560.04927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158.23871</f>
        <v>158.23871</v>
      </c>
      <c r="G97" s="129">
        <f>4696.81932</f>
        <v>4696.8193199999996</v>
      </c>
      <c r="H97" s="129">
        <f t="shared" ref="H97:H104" si="8">E97-G97</f>
        <v>7186.8806800000011</v>
      </c>
      <c r="I97" s="129">
        <f>4049.49841</f>
        <v>4049.4984100000001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114.86272</f>
        <v>114.86272</v>
      </c>
      <c r="G98" s="129">
        <f>7819.28196</f>
        <v>7819.2819600000003</v>
      </c>
      <c r="H98" s="129">
        <f t="shared" si="8"/>
        <v>4845.8180400000001</v>
      </c>
      <c r="I98" s="129">
        <f>10145.05784</f>
        <v>10145.057839999999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243.21868</f>
        <v>243.21868000000001</v>
      </c>
      <c r="G99" s="129">
        <f>7259.37289</f>
        <v>7259.3728899999996</v>
      </c>
      <c r="H99" s="129">
        <f t="shared" si="8"/>
        <v>4706.2271100000007</v>
      </c>
      <c r="I99" s="129">
        <f>8661.91539</f>
        <v>8661.9153900000001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27.63219</f>
        <v>27.632190000000001</v>
      </c>
      <c r="G100" s="129">
        <f>5445.15638</f>
        <v>5445.1563800000004</v>
      </c>
      <c r="H100" s="129">
        <f t="shared" si="8"/>
        <v>2531.44362</v>
      </c>
      <c r="I100" s="129">
        <f>7703.57763</f>
        <v>7703.5776299999998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0.9462</f>
        <v>0.94620000000000004</v>
      </c>
      <c r="G101" s="134">
        <f>10240.8744</f>
        <v>10240.874400000001</v>
      </c>
      <c r="H101" s="134">
        <f t="shared" si="8"/>
        <v>150.12559999999939</v>
      </c>
      <c r="I101" s="134">
        <f>7665.55627</f>
        <v>7665.55627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86.97999</f>
        <v>86.979990000000001</v>
      </c>
      <c r="G102" s="77">
        <f>2340.13255</f>
        <v>2340.1325499999998</v>
      </c>
      <c r="H102" s="77">
        <f t="shared" si="8"/>
        <v>2277.8674500000002</v>
      </c>
      <c r="I102" s="77">
        <f>2104.68899</f>
        <v>2104.6889900000001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0.0285</f>
        <v>2.8500000000000001E-2</v>
      </c>
      <c r="G103" s="100">
        <f>11.80435</f>
        <v>11.804349999999999</v>
      </c>
      <c r="H103" s="100">
        <f t="shared" si="8"/>
        <v>308.19565</v>
      </c>
      <c r="I103" s="100">
        <f>22.37971</f>
        <v>22.379709999999999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0.17439</f>
        <v>0.17438999999999999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00">
        <f>1.0742</f>
        <v>1.0742</v>
      </c>
      <c r="G105" s="100">
        <f>13.78856</f>
        <v>13.78856</v>
      </c>
      <c r="H105" s="141">
        <f>E105-G105</f>
        <v>36.211439999999996</v>
      </c>
      <c r="I105" s="100">
        <f>6.0283</f>
        <v>6.0282999999999998</v>
      </c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1029.1756799999998</v>
      </c>
      <c r="G107" s="78">
        <f t="shared" si="9"/>
        <v>84799.256639999992</v>
      </c>
      <c r="H107" s="78">
        <f t="shared" si="9"/>
        <v>10169.743360000008</v>
      </c>
      <c r="I107" s="78">
        <f t="shared" si="9"/>
        <v>78659.586259999996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909.51512000000002</v>
      </c>
      <c r="G128" s="11">
        <f t="shared" si="11"/>
        <v>69624.964859999993</v>
      </c>
      <c r="H128" s="11">
        <f t="shared" si="11"/>
        <v>1082.035139999997</v>
      </c>
      <c r="I128" s="11">
        <f t="shared" si="11"/>
        <v>61306.780769999998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909.51512</f>
        <v>909.51512000000002</v>
      </c>
      <c r="G129" s="23">
        <f>60994.10586</f>
        <v>60994.105860000003</v>
      </c>
      <c r="H129" s="23">
        <f>E129-G129</f>
        <v>-4769.1058600000033</v>
      </c>
      <c r="I129" s="23">
        <f>51531.85826</f>
        <v>51531.858260000001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8475.57295</f>
        <v>8475.5729499999998</v>
      </c>
      <c r="H130" s="23">
        <f>E130-G130</f>
        <v>5506.4270500000002</v>
      </c>
      <c r="I130" s="23">
        <f>9515.86651</f>
        <v>9515.8665099999998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23">
        <f>0</f>
        <v>0</v>
      </c>
      <c r="G131" s="23">
        <f>155.28605</f>
        <v>155.28604999999999</v>
      </c>
      <c r="H131" s="58">
        <f>E131-G131</f>
        <v>344.71395000000001</v>
      </c>
      <c r="I131" s="23">
        <f>259.056</f>
        <v>259.05599999999998</v>
      </c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7.47</f>
        <v>7.47</v>
      </c>
      <c r="G132" s="97">
        <f>38915.53318+7500.33547</f>
        <v>46415.868649999997</v>
      </c>
      <c r="H132" s="97">
        <f>E132-G132</f>
        <v>2869.1313500000033</v>
      </c>
      <c r="I132" s="97">
        <f>40846.22048</f>
        <v>40846.220480000004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1901.94247</v>
      </c>
      <c r="G133" s="96">
        <f>G134+G139+G142</f>
        <v>69208.717929999999</v>
      </c>
      <c r="H133" s="96">
        <f>H134+H139+H142</f>
        <v>11903.282070000005</v>
      </c>
      <c r="I133" s="96">
        <f>I134+I139+I142</f>
        <v>71895.431489999988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1666.9924799999999</v>
      </c>
      <c r="G134" s="127">
        <f>G135+G136+G138+G137</f>
        <v>53149.890140000003</v>
      </c>
      <c r="H134" s="127">
        <f>H135+H136+H137+H138</f>
        <v>6483.1098600000041</v>
      </c>
      <c r="I134" s="127">
        <f>I135+I136+I137+I138</f>
        <v>56692.376509999995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382.73487</f>
        <v>382.73487</v>
      </c>
      <c r="G135" s="129">
        <v>10812.964319999999</v>
      </c>
      <c r="H135" s="129">
        <f>E135-G135</f>
        <v>6725.0356800000009</v>
      </c>
      <c r="I135" s="129">
        <f>10023.63691</f>
        <v>10023.636909999999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595.05584</f>
        <v>595.05583999999999</v>
      </c>
      <c r="G136" s="129">
        <v>16086.535809999999</v>
      </c>
      <c r="H136" s="129">
        <f>E136-G136</f>
        <v>-968.5358099999994</v>
      </c>
      <c r="I136" s="129">
        <f>13038.29134</f>
        <v>13038.29134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308.57227</f>
        <v>308.57227</v>
      </c>
      <c r="G137" s="129">
        <v>14734.031899999998</v>
      </c>
      <c r="H137" s="129">
        <f>E137-G137</f>
        <v>321.96810000000187</v>
      </c>
      <c r="I137" s="129">
        <f>17848.66922</f>
        <v>17848.66922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380.6295</f>
        <v>380.62950000000001</v>
      </c>
      <c r="G138" s="129">
        <v>11516.358109999999</v>
      </c>
      <c r="H138" s="129">
        <f>E138-G138</f>
        <v>404.64189000000079</v>
      </c>
      <c r="I138" s="129">
        <f>15781.77904</f>
        <v>15781.779039999999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25.419599999999999</v>
      </c>
      <c r="G139" s="134">
        <f>SUM(G140:G141)</f>
        <v>7867.00785</v>
      </c>
      <c r="H139" s="134">
        <f>H140+H141</f>
        <v>1583.99215</v>
      </c>
      <c r="I139" s="134">
        <f>SUM(I140:I141)</f>
        <v>6902.5981600000005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25.4196</f>
        <v>25.419599999999999</v>
      </c>
      <c r="G140" s="129">
        <f>7591.92919</f>
        <v>7591.9291899999998</v>
      </c>
      <c r="H140" s="129">
        <f t="shared" ref="H140:H148" si="12">E140-G140</f>
        <v>1359.0708100000002</v>
      </c>
      <c r="I140" s="129">
        <f>6599.84331</f>
        <v>6599.8433100000002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0</f>
        <v>0</v>
      </c>
      <c r="G141" s="129">
        <f>275.07866</f>
        <v>275.07866000000001</v>
      </c>
      <c r="H141" s="129">
        <f t="shared" si="12"/>
        <v>224.92133999999999</v>
      </c>
      <c r="I141" s="129">
        <f>302.75485</f>
        <v>302.75484999999998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209.53039</f>
        <v>209.53039000000001</v>
      </c>
      <c r="G142" s="77">
        <f>8191.81994</f>
        <v>8191.8199400000003</v>
      </c>
      <c r="H142" s="77">
        <f t="shared" si="12"/>
        <v>3836.1800599999997</v>
      </c>
      <c r="I142" s="77">
        <f>8300.45682</f>
        <v>8300.4568199999994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0.25785</f>
        <v>0.25785000000000002</v>
      </c>
      <c r="G143" s="141">
        <f>34.76623</f>
        <v>34.76623</v>
      </c>
      <c r="H143" s="141">
        <f t="shared" si="12"/>
        <v>102.23376999999999</v>
      </c>
      <c r="I143" s="141">
        <f>28.50315</f>
        <v>28.503150000000002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307.078</f>
        <v>307.07799999999997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7.61935</f>
        <v>7.6193499999999998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00">
        <f>0.002</f>
        <v>2E-3</v>
      </c>
      <c r="G147" s="100">
        <f>28.66901</f>
        <v>28.66901</v>
      </c>
      <c r="H147" s="141">
        <f t="shared" si="12"/>
        <v>166.33098999999999</v>
      </c>
      <c r="I147" s="100">
        <f>7.08005</f>
        <v>7.08005</v>
      </c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>
        <f>56.1608</f>
        <v>56.160800000000002</v>
      </c>
      <c r="G148" s="141">
        <f>555.54343</f>
        <v>555.54342999999994</v>
      </c>
      <c r="H148" s="141">
        <f t="shared" si="12"/>
        <v>-555.54342999999994</v>
      </c>
      <c r="I148" s="141">
        <f>471.0178</f>
        <v>471.01780000000002</v>
      </c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212994</v>
      </c>
      <c r="E150" s="78">
        <f t="shared" si="13"/>
        <v>203686</v>
      </c>
      <c r="F150" s="78">
        <f>F128+F132+F133+F143+F144+F145+F146+F147+F148</f>
        <v>2882.9675900000002</v>
      </c>
      <c r="G150" s="78">
        <f>G128+G132+G133+G143+G144+G145+G146+G147+G148</f>
        <v>188131.11111000003</v>
      </c>
      <c r="H150" s="78">
        <f>H128+H132+H133+H143+H144+H145+H146+H147+H148</f>
        <v>15554.888890000006</v>
      </c>
      <c r="I150" s="78">
        <f>I128+I132+I133+I143+I144+I145+I146+I147+I148</f>
        <v>176862.11173999999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149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148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ht="85.5" customHeight="1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37.26363</f>
        <v>37.263629999999999</v>
      </c>
      <c r="F175" s="274">
        <f>2202.6032</f>
        <v>2202.6032</v>
      </c>
      <c r="G175" s="45">
        <f>D175-F175-F176</f>
        <v>612.37431000000015</v>
      </c>
      <c r="H175" s="274">
        <f>1757.91056</f>
        <v>1757.91056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2173.02249</f>
        <v>2173.0224899999998</v>
      </c>
      <c r="G176" s="215"/>
      <c r="H176" s="154">
        <f>1747.44203</f>
        <v>1747.4420299999999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74.78746</f>
        <v>74.787459999999996</v>
      </c>
      <c r="G177" s="174">
        <f>D177-F177</f>
        <v>125.21254</v>
      </c>
      <c r="H177" s="174">
        <f>55.56528</f>
        <v>55.565280000000001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13.34028</v>
      </c>
      <c r="F178" s="183">
        <f>F179+F180+F181</f>
        <v>8175.2909399999999</v>
      </c>
      <c r="G178" s="183">
        <f>D178-F178</f>
        <v>-694.29093999999986</v>
      </c>
      <c r="H178" s="183">
        <f>H179+H180+H181</f>
        <v>7873.4798200000005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2.55804</f>
        <v>2.5580400000000001</v>
      </c>
      <c r="F179" s="129">
        <f>4192.4447</f>
        <v>4192.4447</v>
      </c>
      <c r="G179" s="129"/>
      <c r="H179" s="129">
        <f>3992.73918</f>
        <v>3992.73918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4.87712</f>
        <v>4.8771199999999997</v>
      </c>
      <c r="F180" s="129">
        <f>2526.78741</f>
        <v>2526.7874099999999</v>
      </c>
      <c r="G180" s="129"/>
      <c r="H180" s="129">
        <f>2488.42461</f>
        <v>2488.42461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5.90512</f>
        <v>5.9051200000000001</v>
      </c>
      <c r="F181" s="194">
        <f>1456.05883</f>
        <v>1456.0588299999999</v>
      </c>
      <c r="G181" s="194"/>
      <c r="H181" s="194">
        <f>1392.31603</f>
        <v>1392.31603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50.603909999999999</v>
      </c>
      <c r="F184" s="196">
        <f>F175+F176+F177+F178+F182+F183</f>
        <v>12625.704089999999</v>
      </c>
      <c r="G184" s="196">
        <f>D184-F184</f>
        <v>109.29591000000073</v>
      </c>
      <c r="H184" s="196">
        <f>H175+H176+H177+H178+H182+H183</f>
        <v>11434.39769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36.72043</f>
        <v>36.72043</v>
      </c>
      <c r="F204" s="124">
        <f>42633.50287</f>
        <v>42633.502869999997</v>
      </c>
      <c r="G204" s="124">
        <f>D204-F204</f>
        <v>1205.4971300000034</v>
      </c>
      <c r="H204" s="124">
        <f>38012.10157</f>
        <v>38012.101569999999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0.018</f>
        <v>1.7999999999999999E-2</v>
      </c>
      <c r="F205" s="124">
        <f>67.64393</f>
        <v>67.643929999999997</v>
      </c>
      <c r="G205" s="124">
        <f>D205-F205</f>
        <v>32.356070000000003</v>
      </c>
      <c r="H205" s="124">
        <f>62.259</f>
        <v>62.259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36.738430000000001</v>
      </c>
      <c r="F207" s="190">
        <f>SUM(F204:F206)</f>
        <v>42701.146799999995</v>
      </c>
      <c r="G207" s="190">
        <f>D207-F207</f>
        <v>1279.853200000005</v>
      </c>
      <c r="H207" s="190">
        <f>SUM(H204:H206)</f>
        <v>38074.360569999997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0.198</f>
        <v>0.19800000000000001</v>
      </c>
      <c r="F249" s="77">
        <f>3686.50189</f>
        <v>3686.50189</v>
      </c>
      <c r="G249" s="77"/>
      <c r="H249" s="77">
        <f>2874.12208</f>
        <v>2874.1220800000001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65.6959</f>
        <v>65.695899999999995</v>
      </c>
      <c r="F250" s="77">
        <f>5617.25708</f>
        <v>5617.2570800000003</v>
      </c>
      <c r="G250" s="77"/>
      <c r="H250" s="77">
        <f>5085.08591</f>
        <v>5085.0859099999998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13.99518</f>
        <v>13.99518</v>
      </c>
      <c r="F251" s="124">
        <f>703.32087</f>
        <v>703.32087000000001</v>
      </c>
      <c r="G251" s="168"/>
      <c r="H251" s="124">
        <f>668.53505</f>
        <v>668.53504999999996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79.889079999999993</v>
      </c>
      <c r="F252" s="190">
        <f>SUM(F249:F251)</f>
        <v>10007.07984</v>
      </c>
      <c r="G252" s="190">
        <f>D252-F252</f>
        <v>446.92015999999967</v>
      </c>
      <c r="H252" s="190">
        <f>SUM(H249:H251)</f>
        <v>8627.7430399999994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5.3076</f>
        <v>5.3075999999999999</v>
      </c>
      <c r="F294" s="77">
        <f>5608.12784</f>
        <v>5608.1278400000001</v>
      </c>
      <c r="G294" s="77"/>
      <c r="H294" s="77">
        <f>4257.60971</f>
        <v>4257.6097099999997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111.08368</f>
        <v>111.08368</v>
      </c>
      <c r="F295" s="77">
        <f>4040.5621</f>
        <v>4040.5621000000001</v>
      </c>
      <c r="G295" s="77"/>
      <c r="H295" s="77">
        <f>3774.58554</f>
        <v>3774.58554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2.11761</f>
        <v>2.11761</v>
      </c>
      <c r="F296" s="124">
        <f>521.26486</f>
        <v>521.26486</v>
      </c>
      <c r="G296" s="168"/>
      <c r="H296" s="124">
        <f>590.00585</f>
        <v>590.00585000000001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118.50888999999999</v>
      </c>
      <c r="F297" s="190">
        <f>SUM(F294:F296)</f>
        <v>10169.9548</v>
      </c>
      <c r="G297" s="190">
        <f>D297-F297</f>
        <v>-2093.9547999999995</v>
      </c>
      <c r="H297" s="190">
        <f>SUM(H294:H296)</f>
        <v>8622.2011000000002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63.75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6.54128</f>
        <v>6.5412800000000004</v>
      </c>
      <c r="F348" s="124">
        <f>588.84654</f>
        <v>588.84654</v>
      </c>
      <c r="G348" s="124">
        <f>D348-F348</f>
        <v>211.15346</v>
      </c>
      <c r="H348" s="124">
        <f>388.87525</f>
        <v>388.87524999999999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3.17869</f>
        <v>3.17869</v>
      </c>
      <c r="F349" s="124">
        <f>2782.26276</f>
        <v>2782.2627600000001</v>
      </c>
      <c r="G349" s="124">
        <f>D349-F349</f>
        <v>-288.26276000000007</v>
      </c>
      <c r="H349" s="124">
        <f>1748.08599</f>
        <v>1748.08599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3.1032</f>
        <v>3.1032000000000002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1.78973</f>
        <v>1.78973</v>
      </c>
      <c r="G351" s="124"/>
      <c r="H351" s="168">
        <f>6.96964</f>
        <v>6.9696400000000001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9.71997</v>
      </c>
      <c r="F352" s="190">
        <f>SUM(F348:F351)</f>
        <v>3375.6377699999998</v>
      </c>
      <c r="G352" s="190">
        <f>D352-F352</f>
        <v>-76.637769999999819</v>
      </c>
      <c r="H352" s="190">
        <f>H348+H349+H350+H351</f>
        <v>2147.0340799999999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ht="36" customHeight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4">D382+D381+D380+D379</f>
        <v>13765</v>
      </c>
      <c r="E378" s="249">
        <f t="shared" si="14"/>
        <v>16102</v>
      </c>
      <c r="F378" s="251">
        <f t="shared" si="14"/>
        <v>74.301000000000002</v>
      </c>
      <c r="G378" s="251">
        <f t="shared" si="14"/>
        <v>16899.065610000001</v>
      </c>
      <c r="H378" s="251">
        <f>H382+H381+H380+H379</f>
        <v>-797.06561000000102</v>
      </c>
      <c r="I378" s="251">
        <f t="shared" si="14"/>
        <v>10544.53062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0</f>
        <v>0</v>
      </c>
      <c r="G379" s="255">
        <f>10055.09638</f>
        <v>10055.096380000001</v>
      </c>
      <c r="H379" s="255">
        <f t="shared" ref="H379:H383" si="15">E379-G379</f>
        <v>-1878.0963800000009</v>
      </c>
      <c r="I379" s="255">
        <f>6828.5044</f>
        <v>6828.5043999999998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1611.0522</f>
        <v>1611.0522000000001</v>
      </c>
      <c r="H380" s="255">
        <f t="shared" si="15"/>
        <v>516.94779999999992</v>
      </c>
      <c r="I380" s="255">
        <f>1005.95655</f>
        <v>1005.95655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55.2174</f>
        <v>55.217399999999998</v>
      </c>
      <c r="G381" s="255">
        <f>2054.32673</f>
        <v>2054.3267300000002</v>
      </c>
      <c r="H381" s="255">
        <f t="shared" si="15"/>
        <v>-697.32673000000023</v>
      </c>
      <c r="I381" s="255">
        <f>1678.89367</f>
        <v>1678.8936699999999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19.0836</f>
        <v>19.083600000000001</v>
      </c>
      <c r="G382" s="255">
        <f>3178.5903</f>
        <v>3178.5902999999998</v>
      </c>
      <c r="H382" s="255">
        <f t="shared" si="15"/>
        <v>1261.4097000000002</v>
      </c>
      <c r="I382" s="255">
        <f>1031.176</f>
        <v>1031.1759999999999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0</f>
        <v>0</v>
      </c>
      <c r="G383" s="266">
        <f>5112.49428</f>
        <v>5112.4942799999999</v>
      </c>
      <c r="H383" s="266">
        <f t="shared" si="15"/>
        <v>387.50572000000011</v>
      </c>
      <c r="I383" s="266">
        <f>4572.37976</f>
        <v>4572.3797599999998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91.70732000000001</v>
      </c>
      <c r="G384" s="267">
        <f>G386+G385</f>
        <v>4634.1616899999999</v>
      </c>
      <c r="H384" s="267">
        <f>E384-G384</f>
        <v>3365.8383100000001</v>
      </c>
      <c r="I384" s="267">
        <f>I386+I385</f>
        <v>4722.2647200000001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0.912</f>
        <v>0.91200000000000003</v>
      </c>
      <c r="G385" s="255">
        <f>864.93494</f>
        <v>864.93493999999998</v>
      </c>
      <c r="H385" s="255"/>
      <c r="I385" s="255">
        <f>1158.2507</f>
        <v>1158.2507000000001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90.79532</f>
        <v>90.795320000000004</v>
      </c>
      <c r="G386" s="276">
        <f>3769.22675</f>
        <v>3769.2267499999998</v>
      </c>
      <c r="H386" s="276"/>
      <c r="I386" s="276">
        <f>3564.01402</f>
        <v>3564.0140200000001</v>
      </c>
      <c r="J386" s="132"/>
    </row>
    <row r="387" spans="1:10" ht="13.5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0.7485</f>
        <v>0.74850000000000005</v>
      </c>
      <c r="H387" s="266">
        <f>E387-G387</f>
        <v>9.2515000000000001</v>
      </c>
      <c r="I387" s="266">
        <f>0.4968</f>
        <v>0.49680000000000002</v>
      </c>
      <c r="J387" s="132"/>
    </row>
    <row r="388" spans="1:10" ht="13.5" customHeight="1" x14ac:dyDescent="0.25">
      <c r="A388" s="216"/>
      <c r="B388" s="74"/>
      <c r="C388" s="277" t="s">
        <v>110</v>
      </c>
      <c r="D388" s="280"/>
      <c r="E388" s="281"/>
      <c r="F388" s="266">
        <f>2.31692</f>
        <v>2.3169200000000001</v>
      </c>
      <c r="G388" s="266">
        <f>123.75217</f>
        <v>123.75217000000001</v>
      </c>
      <c r="H388" s="266">
        <f>E388-G388</f>
        <v>-123.75217000000001</v>
      </c>
      <c r="I388" s="266">
        <f>242.08396</f>
        <v>242.08395999999999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6">F378+F383+F384+F387+F388</f>
        <v>168.32524000000004</v>
      </c>
      <c r="G389" s="285">
        <f t="shared" si="16"/>
        <v>26770.222250000003</v>
      </c>
      <c r="H389" s="285">
        <f>H378+H383+H384+H387+H388</f>
        <v>2841.7777499999988</v>
      </c>
      <c r="I389" s="285">
        <f t="shared" si="16"/>
        <v>20081.755860000001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3.5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28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986.41022999999996</v>
      </c>
      <c r="G411" s="87"/>
      <c r="H411" s="26">
        <f>SUM(H412:H413)</f>
        <v>1838.2897400000002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751.83123</f>
        <v>751.83123000000001</v>
      </c>
      <c r="G412" s="208"/>
      <c r="H412" s="207">
        <f>1442.8911</f>
        <v>1442.8911000000001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234.579</f>
        <v>234.57900000000001</v>
      </c>
      <c r="G413" s="211"/>
      <c r="H413" s="210">
        <f>395.39864</f>
        <v>395.39864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40.620199999999997</v>
      </c>
      <c r="F414" s="26">
        <f>SUM(F415:F416)</f>
        <v>137.86500000000001</v>
      </c>
      <c r="G414" s="87"/>
      <c r="H414" s="26">
        <f>SUM(H415:H416)</f>
        <v>220.20504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25.2395</f>
        <v>25.2395</v>
      </c>
      <c r="F415" s="30">
        <f>93.392</f>
        <v>93.391999999999996</v>
      </c>
      <c r="G415" s="99"/>
      <c r="H415" s="30">
        <f>178.1623</f>
        <v>178.16229999999999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15.3807</f>
        <v>15.380699999999999</v>
      </c>
      <c r="F416" s="30">
        <f>44.473</f>
        <v>44.472999999999999</v>
      </c>
      <c r="G416" s="110"/>
      <c r="H416" s="30">
        <f>42.04274</f>
        <v>42.042740000000002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0</v>
      </c>
      <c r="F417" s="36">
        <f>SUM(F418:F419)</f>
        <v>0</v>
      </c>
      <c r="G417" s="87"/>
      <c r="H417" s="36">
        <f>SUM(H418:H419)</f>
        <v>0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0</f>
        <v>0</v>
      </c>
      <c r="F418" s="30">
        <f>0</f>
        <v>0</v>
      </c>
      <c r="G418" s="99"/>
      <c r="H418" s="30">
        <f>0</f>
        <v>0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0</f>
        <v>0</v>
      </c>
      <c r="F419" s="30">
        <f>0</f>
        <v>0</v>
      </c>
      <c r="G419" s="110"/>
      <c r="H419" s="30">
        <f>0</f>
        <v>0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40.620199999999997</v>
      </c>
      <c r="F421" s="42">
        <f>F411+F414+F417+F420</f>
        <v>1124.27523</v>
      </c>
      <c r="G421" s="43"/>
      <c r="H421" s="42">
        <f>H411+H414+H417+H420</f>
        <v>2058.49478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46&amp;R20.11.2023</oddHeader>
    <oddFooter>&amp;LFiskeridirektoratet&amp;CSeksjon fiskeriregulering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2023-11-21T08:10:19Z</dcterms:modified>
</cp:coreProperties>
</file>