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oyher\Downloads\"/>
    </mc:Choice>
  </mc:AlternateContent>
  <xr:revisionPtr revIDLastSave="0" documentId="13_ncr:1_{5231BCC9-A63D-49C7-99AB-5C9CB097C4F5}" xr6:coauthVersionLast="47" xr6:coauthVersionMax="47" xr10:uidLastSave="{00000000-0000-0000-0000-000000000000}"/>
  <bookViews>
    <workbookView xWindow="14220" yWindow="-20715" windowWidth="22860" windowHeight="200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422" i="1"/>
  <c r="F422" i="1"/>
  <c r="G422" i="1" s="1"/>
  <c r="E422" i="1"/>
  <c r="H421" i="1"/>
  <c r="H419" i="1" s="1"/>
  <c r="F421" i="1"/>
  <c r="E421" i="1"/>
  <c r="H420" i="1"/>
  <c r="F420" i="1"/>
  <c r="E420" i="1"/>
  <c r="F419" i="1"/>
  <c r="G419" i="1" s="1"/>
  <c r="E419" i="1"/>
  <c r="H418" i="1"/>
  <c r="F418" i="1"/>
  <c r="E418" i="1"/>
  <c r="H417" i="1"/>
  <c r="F417" i="1"/>
  <c r="F416" i="1" s="1"/>
  <c r="G416" i="1" s="1"/>
  <c r="E417" i="1"/>
  <c r="E416" i="1" s="1"/>
  <c r="H416" i="1"/>
  <c r="H415" i="1"/>
  <c r="F415" i="1"/>
  <c r="E415" i="1"/>
  <c r="H414" i="1"/>
  <c r="H413" i="1" s="1"/>
  <c r="H423" i="1" s="1"/>
  <c r="F414" i="1"/>
  <c r="F413" i="1" s="1"/>
  <c r="E414" i="1"/>
  <c r="E413" i="1" s="1"/>
  <c r="E423" i="1" s="1"/>
  <c r="D391" i="1"/>
  <c r="I390" i="1"/>
  <c r="H390" i="1"/>
  <c r="G390" i="1"/>
  <c r="F390" i="1"/>
  <c r="I389" i="1"/>
  <c r="H389" i="1"/>
  <c r="G389" i="1"/>
  <c r="F389" i="1"/>
  <c r="I388" i="1"/>
  <c r="G388" i="1"/>
  <c r="G386" i="1" s="1"/>
  <c r="H386" i="1" s="1"/>
  <c r="F388" i="1"/>
  <c r="I387" i="1"/>
  <c r="I386" i="1" s="1"/>
  <c r="I391" i="1" s="1"/>
  <c r="G387" i="1"/>
  <c r="F387" i="1"/>
  <c r="F386" i="1" s="1"/>
  <c r="I385" i="1"/>
  <c r="G385" i="1"/>
  <c r="H385" i="1" s="1"/>
  <c r="F385" i="1"/>
  <c r="I384" i="1"/>
  <c r="H384" i="1"/>
  <c r="G384" i="1"/>
  <c r="F384" i="1"/>
  <c r="I383" i="1"/>
  <c r="G383" i="1"/>
  <c r="G380" i="1" s="1"/>
  <c r="G391" i="1" s="1"/>
  <c r="F383" i="1"/>
  <c r="F380" i="1" s="1"/>
  <c r="I382" i="1"/>
  <c r="H382" i="1"/>
  <c r="G382" i="1"/>
  <c r="F382" i="1"/>
  <c r="I381" i="1"/>
  <c r="G381" i="1"/>
  <c r="H381" i="1" s="1"/>
  <c r="F381" i="1"/>
  <c r="I380" i="1"/>
  <c r="D380" i="1"/>
  <c r="H372" i="1"/>
  <c r="F372" i="1"/>
  <c r="H354" i="1"/>
  <c r="D354" i="1"/>
  <c r="G354" i="1" s="1"/>
  <c r="H353" i="1"/>
  <c r="F353" i="1"/>
  <c r="G353" i="1" s="1"/>
  <c r="E353" i="1"/>
  <c r="H352" i="1"/>
  <c r="G352" i="1"/>
  <c r="F352" i="1"/>
  <c r="E352" i="1"/>
  <c r="H351" i="1"/>
  <c r="F351" i="1"/>
  <c r="F354" i="1" s="1"/>
  <c r="E351" i="1"/>
  <c r="H350" i="1"/>
  <c r="G350" i="1"/>
  <c r="F350" i="1"/>
  <c r="E350" i="1"/>
  <c r="E354" i="1" s="1"/>
  <c r="D343" i="1"/>
  <c r="D299" i="1"/>
  <c r="H298" i="1"/>
  <c r="G298" i="1"/>
  <c r="F298" i="1"/>
  <c r="E298" i="1"/>
  <c r="H297" i="1"/>
  <c r="F297" i="1"/>
  <c r="F295" i="1" s="1"/>
  <c r="E297" i="1"/>
  <c r="H296" i="1"/>
  <c r="H295" i="1" s="1"/>
  <c r="H299" i="1" s="1"/>
  <c r="F296" i="1"/>
  <c r="E296" i="1"/>
  <c r="E295" i="1"/>
  <c r="E299" i="1" s="1"/>
  <c r="D253" i="1"/>
  <c r="H252" i="1"/>
  <c r="F252" i="1"/>
  <c r="G252" i="1" s="1"/>
  <c r="E252" i="1"/>
  <c r="H251" i="1"/>
  <c r="F251" i="1"/>
  <c r="E251" i="1"/>
  <c r="H250" i="1"/>
  <c r="F250" i="1"/>
  <c r="F249" i="1" s="1"/>
  <c r="E250" i="1"/>
  <c r="E249" i="1" s="1"/>
  <c r="E253" i="1" s="1"/>
  <c r="H249" i="1"/>
  <c r="H253" i="1" s="1"/>
  <c r="H207" i="1"/>
  <c r="D207" i="1"/>
  <c r="G207" i="1" s="1"/>
  <c r="H206" i="1"/>
  <c r="G206" i="1"/>
  <c r="F206" i="1"/>
  <c r="E206" i="1"/>
  <c r="H205" i="1"/>
  <c r="F205" i="1"/>
  <c r="F207" i="1" s="1"/>
  <c r="E205" i="1"/>
  <c r="E207" i="1" s="1"/>
  <c r="H204" i="1"/>
  <c r="G204" i="1"/>
  <c r="F204" i="1"/>
  <c r="E204" i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H180" i="1"/>
  <c r="F180" i="1"/>
  <c r="E180" i="1"/>
  <c r="E178" i="1" s="1"/>
  <c r="E184" i="1" s="1"/>
  <c r="H179" i="1"/>
  <c r="H178" i="1" s="1"/>
  <c r="F179" i="1"/>
  <c r="F178" i="1" s="1"/>
  <c r="G178" i="1" s="1"/>
  <c r="E179" i="1"/>
  <c r="H177" i="1"/>
  <c r="G177" i="1"/>
  <c r="F177" i="1"/>
  <c r="E177" i="1"/>
  <c r="H176" i="1"/>
  <c r="F176" i="1"/>
  <c r="E176" i="1"/>
  <c r="H175" i="1"/>
  <c r="F175" i="1"/>
  <c r="E175" i="1"/>
  <c r="D169" i="1"/>
  <c r="D167" i="1"/>
  <c r="I148" i="1"/>
  <c r="G148" i="1"/>
  <c r="H148" i="1" s="1"/>
  <c r="F148" i="1"/>
  <c r="I147" i="1"/>
  <c r="G147" i="1"/>
  <c r="H147" i="1" s="1"/>
  <c r="F147" i="1"/>
  <c r="H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I139" i="1" s="1"/>
  <c r="I133" i="1" s="1"/>
  <c r="H140" i="1"/>
  <c r="H139" i="1" s="1"/>
  <c r="G140" i="1"/>
  <c r="G139" i="1" s="1"/>
  <c r="F140" i="1"/>
  <c r="F139" i="1"/>
  <c r="E139" i="1"/>
  <c r="E133" i="1" s="1"/>
  <c r="E150" i="1" s="1"/>
  <c r="D139" i="1"/>
  <c r="I138" i="1"/>
  <c r="H138" i="1"/>
  <c r="F138" i="1"/>
  <c r="I137" i="1"/>
  <c r="H137" i="1"/>
  <c r="F137" i="1"/>
  <c r="I136" i="1"/>
  <c r="H136" i="1"/>
  <c r="F136" i="1"/>
  <c r="I135" i="1"/>
  <c r="G134" i="1"/>
  <c r="G133" i="1" s="1"/>
  <c r="F135" i="1"/>
  <c r="F134" i="1" s="1"/>
  <c r="F133" i="1" s="1"/>
  <c r="I134" i="1"/>
  <c r="E134" i="1"/>
  <c r="D134" i="1"/>
  <c r="D133" i="1" s="1"/>
  <c r="I132" i="1"/>
  <c r="H132" i="1"/>
  <c r="F132" i="1"/>
  <c r="I131" i="1"/>
  <c r="H131" i="1"/>
  <c r="G131" i="1"/>
  <c r="F131" i="1"/>
  <c r="I130" i="1"/>
  <c r="G130" i="1"/>
  <c r="H130" i="1" s="1"/>
  <c r="H128" i="1" s="1"/>
  <c r="F130" i="1"/>
  <c r="F128" i="1" s="1"/>
  <c r="I129" i="1"/>
  <c r="I128" i="1" s="1"/>
  <c r="H129" i="1"/>
  <c r="G129" i="1"/>
  <c r="F129" i="1"/>
  <c r="E128" i="1"/>
  <c r="D128" i="1"/>
  <c r="D150" i="1" s="1"/>
  <c r="C126" i="1"/>
  <c r="I106" i="1"/>
  <c r="G106" i="1"/>
  <c r="H106" i="1" s="1"/>
  <c r="F106" i="1"/>
  <c r="I105" i="1"/>
  <c r="G105" i="1"/>
  <c r="H105" i="1" s="1"/>
  <c r="F105" i="1"/>
  <c r="I104" i="1"/>
  <c r="G104" i="1"/>
  <c r="H104" i="1" s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I96" i="1" s="1"/>
  <c r="I95" i="1" s="1"/>
  <c r="G97" i="1"/>
  <c r="G96" i="1" s="1"/>
  <c r="G95" i="1" s="1"/>
  <c r="F97" i="1"/>
  <c r="F96" i="1" s="1"/>
  <c r="F95" i="1" s="1"/>
  <c r="F107" i="1" s="1"/>
  <c r="E96" i="1"/>
  <c r="E95" i="1" s="1"/>
  <c r="E107" i="1" s="1"/>
  <c r="D96" i="1"/>
  <c r="D95" i="1" s="1"/>
  <c r="I94" i="1"/>
  <c r="G94" i="1"/>
  <c r="H94" i="1" s="1"/>
  <c r="F94" i="1"/>
  <c r="I93" i="1"/>
  <c r="G93" i="1"/>
  <c r="H93" i="1" s="1"/>
  <c r="F93" i="1"/>
  <c r="I92" i="1"/>
  <c r="I107" i="1" s="1"/>
  <c r="F92" i="1"/>
  <c r="E92" i="1"/>
  <c r="D92" i="1"/>
  <c r="D107" i="1" s="1"/>
  <c r="C89" i="1"/>
  <c r="H85" i="1"/>
  <c r="F85" i="1"/>
  <c r="D85" i="1"/>
  <c r="G61" i="1"/>
  <c r="G60" i="1"/>
  <c r="H55" i="1"/>
  <c r="F55" i="1"/>
  <c r="G32" i="1" s="1"/>
  <c r="E55" i="1"/>
  <c r="F32" i="1" s="1"/>
  <c r="F27" i="1" s="1"/>
  <c r="I43" i="1"/>
  <c r="G43" i="1"/>
  <c r="H43" i="1" s="1"/>
  <c r="F43" i="1"/>
  <c r="H42" i="1"/>
  <c r="I41" i="1"/>
  <c r="H41" i="1"/>
  <c r="G41" i="1"/>
  <c r="F41" i="1"/>
  <c r="I40" i="1"/>
  <c r="G40" i="1"/>
  <c r="H40" i="1" s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I34" i="1" s="1"/>
  <c r="G35" i="1"/>
  <c r="G34" i="1" s="1"/>
  <c r="H34" i="1" s="1"/>
  <c r="F35" i="1"/>
  <c r="F34" i="1" s="1"/>
  <c r="E35" i="1"/>
  <c r="D34" i="1"/>
  <c r="I33" i="1"/>
  <c r="H33" i="1"/>
  <c r="G33" i="1"/>
  <c r="F33" i="1"/>
  <c r="I32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I27" i="1" s="1"/>
  <c r="H28" i="1"/>
  <c r="G28" i="1"/>
  <c r="F28" i="1"/>
  <c r="E27" i="1"/>
  <c r="E26" i="1" s="1"/>
  <c r="E44" i="1" s="1"/>
  <c r="D27" i="1"/>
  <c r="D26" i="1" s="1"/>
  <c r="I25" i="1"/>
  <c r="H25" i="1"/>
  <c r="H23" i="1" s="1"/>
  <c r="G25" i="1"/>
  <c r="F25" i="1"/>
  <c r="I24" i="1"/>
  <c r="H24" i="1"/>
  <c r="G24" i="1"/>
  <c r="G23" i="1" s="1"/>
  <c r="F24" i="1"/>
  <c r="F23" i="1" s="1"/>
  <c r="I23" i="1"/>
  <c r="E23" i="1"/>
  <c r="D23" i="1"/>
  <c r="H16" i="1"/>
  <c r="F16" i="1"/>
  <c r="D16" i="1"/>
  <c r="F26" i="1" l="1"/>
  <c r="F44" i="1" s="1"/>
  <c r="H35" i="1"/>
  <c r="F423" i="1"/>
  <c r="G413" i="1"/>
  <c r="F299" i="1"/>
  <c r="G299" i="1" s="1"/>
  <c r="G295" i="1"/>
  <c r="I26" i="1"/>
  <c r="I44" i="1" s="1"/>
  <c r="H32" i="1"/>
  <c r="H27" i="1" s="1"/>
  <c r="H26" i="1" s="1"/>
  <c r="H44" i="1" s="1"/>
  <c r="G27" i="1"/>
  <c r="G26" i="1" s="1"/>
  <c r="G44" i="1" s="1"/>
  <c r="H92" i="1"/>
  <c r="I150" i="1"/>
  <c r="F150" i="1"/>
  <c r="F184" i="1"/>
  <c r="G184" i="1" s="1"/>
  <c r="G249" i="1"/>
  <c r="F253" i="1"/>
  <c r="G253" i="1" s="1"/>
  <c r="D44" i="1"/>
  <c r="H184" i="1"/>
  <c r="F391" i="1"/>
  <c r="G128" i="1"/>
  <c r="G150" i="1" s="1"/>
  <c r="H135" i="1"/>
  <c r="H134" i="1" s="1"/>
  <c r="H133" i="1" s="1"/>
  <c r="H150" i="1" s="1"/>
  <c r="G205" i="1"/>
  <c r="G351" i="1"/>
  <c r="H383" i="1"/>
  <c r="H380" i="1" s="1"/>
  <c r="H391" i="1" s="1"/>
  <c r="H97" i="1"/>
  <c r="H96" i="1" s="1"/>
  <c r="H95" i="1" s="1"/>
  <c r="G175" i="1"/>
  <c r="G55" i="1"/>
  <c r="G92" i="1"/>
  <c r="G107" i="1" s="1"/>
  <c r="H107" i="1" l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<sst xmlns="http://schemas.openxmlformats.org/spreadsheetml/2006/main" count="359" uniqueCount="152">
  <si>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</si>
  <si>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</si>
  <si>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</si>
  <si>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</si>
  <si>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</si>
  <si>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</si>
  <si>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</si>
  <si>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</si>
  <si>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</si>
  <si>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</si>
  <si>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</si>
  <si>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</si>
  <si>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</si>
  <si>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</si>
  <si>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</si>
  <si>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</si>
  <si>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</si>
  <si>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</si>
  <si>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</si>
  <si>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</si>
  <si>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</si>
  <si>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</si>
  <si>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</si>
  <si>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</si>
  <si>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</si>
  <si>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</si>
  <si>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</si>
  <si>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</si>
  <si>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</si>
  <si>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</si>
  <si>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</si>
  <si>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</si>
  <si>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</si>
  <si>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</si>
  <si>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</si>
  <si>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</si>
  <si>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</si>
  <si>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</si>
  <si>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</si>
  <si>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</si>
  <si>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</si>
  <si>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</si>
  <si>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</si>
  <si>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</si>
  <si>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</si>
  <si>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</si>
  <si>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</si>
  <si>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</si>
  <si>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</si>
  <si>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</si>
  <si>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</si>
  <si>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</si>
  <si>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</si>
  <si>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</si>
  <si>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</si>
  <si>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</si>
  <si>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</si>
  <si>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</si>
  <si>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</si>
  <si>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</si>
  <si>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</si>
  <si>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</si>
  <si>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</si>
  <si>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</si>
  <si>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</si>
  <si>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</si>
  <si>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</si>
  <si>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</si>
  <si>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</si>
  <si>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</si>
  <si>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</si>
  <si>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</si>
  <si>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</si>
  <si>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</si>
  <si>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</si>
  <si>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</si>
  <si>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</si>
  <si>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</si>
  <si>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</si>
  <si>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</si>
  <si>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</si>
  <si>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</si>
  <si>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</si>
  <si>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</si>
  <si>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</si>
  <si>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</si>
  <si>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</si>
  <si>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</si>
  <si>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</si>
  <si>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</si>
  <si>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</si>
  <si>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</si>
  <si>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</si>
  <si>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</si>
  <si>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</si>
  <si>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</si>
  <si>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</si>
  <si>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</si>
  <si>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</si>
  <si>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</si>
  <si>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</si>
  <si>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</si>
  <si>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</si>
  <si>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</si>
  <si>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</si>
  <si>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</si>
  <si>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</si>
  <si>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</si>
  <si>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</si>
  <si>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</si>
  <si>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</si>
  <si>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</si>
  <si>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</si>
  <si>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</si>
  <si>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</si>
  <si>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</si>
  <si>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</si>
  <si>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</si>
  <si>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</si>
  <si>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</si>
  <si>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</si>
  <si>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</si>
  <si>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</si>
  <si>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</si>
  <si>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</si>
  <si>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</si>
  <si>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</si>
  <si>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</si>
  <si>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</si>
  <si>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</si>
  <si>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</si>
  <si>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</si>
  <si>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</si>
  <si>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</si>
  <si>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</si>
  <si>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</si>
  <si>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</si>
  <si>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</si>
  <si>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</si>
  <si>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</si>
  <si>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</si>
  <si>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</si>
  <si>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</si>
  <si>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</si>
  <si>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t>2 Registrert rekreasjonsfiske utgjør 52 tonn, men det legges til grunn at hele avsetningen tas</t>
  </si>
  <si>
    <t>4 Registrert rekreasjonsfiske utgjør 331 tonn, men det legges til grunn at hele avsetningen tas</t>
  </si>
  <si>
    <t>3 Registrert rekreasjonsfiske utgjør 684 tonn, men det legges til grunn at hele avsetningen tas</t>
  </si>
  <si>
    <t>FANGST UKE 27</t>
  </si>
  <si>
    <t>FANGST T.O.M UKE 27</t>
  </si>
  <si>
    <t>RESTKVOTER UKE 27</t>
  </si>
  <si>
    <t>FANGST T.O.M UKE 27 2023</t>
  </si>
  <si>
    <r>
      <t>3</t>
    </r>
    <r>
      <rPr>
        <sz val="9"/>
        <color indexed="8"/>
        <rFont val="Calibri"/>
        <family val="2"/>
      </rPr>
      <t xml:space="preserve"> Det er fisket 2484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</si>
</sst>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showWhiteSpace="0" view="pageLayout" topLeftCell="A111" zoomScale="85" zoomScaleNormal="85" zoomScaleSheetLayoutView="100" zoomScalePageLayoutView="85" workbookViewId="0">
      <selection activeCell="C154" sqref="C154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2" t="s">
        <v>122</v>
      </c>
      <c r="C2" s="303"/>
      <c r="D2" s="303"/>
      <c r="E2" s="303"/>
      <c r="F2" s="303"/>
      <c r="G2" s="303"/>
      <c r="H2" s="303"/>
      <c r="I2" s="303"/>
      <c r="J2" s="304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5"/>
      <c r="C9" s="306"/>
      <c r="D9" s="306"/>
      <c r="E9" s="306"/>
      <c r="F9" s="306"/>
      <c r="G9" s="306"/>
      <c r="H9" s="306"/>
      <c r="I9" s="306"/>
      <c r="J9" s="307"/>
    </row>
    <row r="10" spans="1:10" ht="12" customHeight="1" x14ac:dyDescent="0.2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" customHeight="1" x14ac:dyDescent="0.25">
      <c r="A12" s="1"/>
      <c r="B12" s="253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3"/>
    </row>
    <row r="13" spans="1:10" ht="15.75" customHeight="1" x14ac:dyDescent="0.25">
      <c r="A13" s="1"/>
      <c r="B13" s="253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3"/>
    </row>
    <row r="14" spans="1:10" ht="14.25" customHeight="1" x14ac:dyDescent="0.2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3"/>
    </row>
    <row r="15" spans="1:10" ht="15.75" customHeight="1" x14ac:dyDescent="0.2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8832</v>
      </c>
      <c r="I15" s="178"/>
      <c r="J15" s="243"/>
    </row>
    <row r="16" spans="1:10" ht="14.1" customHeight="1" x14ac:dyDescent="0.2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3"/>
    </row>
    <row r="17" spans="1:10" ht="30" customHeight="1" x14ac:dyDescent="0.25">
      <c r="A17" s="101"/>
      <c r="B17" s="24"/>
      <c r="C17" s="301" t="s">
        <v>141</v>
      </c>
      <c r="D17" s="301"/>
      <c r="E17" s="301"/>
      <c r="F17" s="301"/>
      <c r="G17" s="301"/>
      <c r="H17" s="301"/>
      <c r="I17" s="101"/>
      <c r="J17" s="157"/>
    </row>
    <row r="18" spans="1:10" ht="15" customHeight="1" x14ac:dyDescent="0.25">
      <c r="A18" s="1"/>
      <c r="B18" s="240"/>
      <c r="C18" s="271"/>
      <c r="D18" s="271"/>
      <c r="E18" s="109"/>
      <c r="F18" s="271"/>
      <c r="G18" s="271"/>
      <c r="H18" s="271"/>
      <c r="I18" s="271"/>
      <c r="J18" s="184"/>
    </row>
    <row r="19" spans="1:10" ht="15" customHeight="1" x14ac:dyDescent="0.2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2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2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147</v>
      </c>
      <c r="G22" s="68" t="s">
        <v>148</v>
      </c>
      <c r="H22" s="68" t="s">
        <v>149</v>
      </c>
      <c r="I22" s="68" t="s">
        <v>150</v>
      </c>
      <c r="J22" s="279"/>
    </row>
    <row r="23" spans="1:10" ht="14.1" customHeight="1" x14ac:dyDescent="0.25">
      <c r="A23" s="1"/>
      <c r="B23" s="253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97.870500000000007</v>
      </c>
      <c r="G23" s="28">
        <f t="shared" si="0"/>
        <v>37201.800370000004</v>
      </c>
      <c r="H23" s="11">
        <f t="shared" si="0"/>
        <v>23610.199629999996</v>
      </c>
      <c r="I23" s="11">
        <f t="shared" si="0"/>
        <v>48104.875719999996</v>
      </c>
      <c r="J23" s="243"/>
    </row>
    <row r="24" spans="1:10" ht="14.1" customHeight="1" x14ac:dyDescent="0.25">
      <c r="A24" s="1"/>
      <c r="B24" s="253"/>
      <c r="C24" s="44" t="s">
        <v>20</v>
      </c>
      <c r="D24" s="45">
        <v>61689</v>
      </c>
      <c r="E24" s="45">
        <v>60042</v>
      </c>
      <c r="F24" s="23">
        <f>97.8705</f>
        <v>97.870500000000007</v>
      </c>
      <c r="G24" s="23">
        <f>36679.83658</f>
        <v>36679.836580000003</v>
      </c>
      <c r="H24" s="23">
        <f>E24-G24</f>
        <v>23362.163419999997</v>
      </c>
      <c r="I24" s="23">
        <f>47781.56398</f>
        <v>47781.563979999999</v>
      </c>
      <c r="J24" s="243"/>
    </row>
    <row r="25" spans="1:10" ht="14.1" customHeight="1" x14ac:dyDescent="0.25">
      <c r="A25" s="1"/>
      <c r="B25" s="253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521.96379</f>
        <v>521.96379000000002</v>
      </c>
      <c r="H25" s="23">
        <f>E25-G25</f>
        <v>248.03620999999998</v>
      </c>
      <c r="I25" s="23">
        <f>323.31174</f>
        <v>323.31173999999999</v>
      </c>
      <c r="J25" s="243"/>
    </row>
    <row r="26" spans="1:10" ht="14.1" customHeight="1" x14ac:dyDescent="0.25">
      <c r="A26" s="1"/>
      <c r="B26" s="253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1172.59212</v>
      </c>
      <c r="G26" s="11">
        <f t="shared" si="1"/>
        <v>117321.96242</v>
      </c>
      <c r="H26" s="11">
        <f t="shared" si="1"/>
        <v>27552.03758</v>
      </c>
      <c r="I26" s="11">
        <f t="shared" si="1"/>
        <v>165853.36437999998</v>
      </c>
      <c r="J26" s="243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1018.80607</v>
      </c>
      <c r="G27" s="132">
        <f t="shared" ref="G27:I27" si="2">G28+G29+G30+G31+G32</f>
        <v>96015.63029999999</v>
      </c>
      <c r="H27" s="132">
        <f t="shared" si="2"/>
        <v>16962.369699999999</v>
      </c>
      <c r="I27" s="132">
        <f t="shared" si="2"/>
        <v>131967.28905999998</v>
      </c>
      <c r="J27" s="243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102.54897</f>
        <v>102.54897</v>
      </c>
      <c r="G28" s="127">
        <f>25558.76655 - F56</f>
        <v>25500.76655</v>
      </c>
      <c r="H28" s="127">
        <f t="shared" ref="H28:H40" si="3">E28-G28</f>
        <v>3129.2334499999997</v>
      </c>
      <c r="I28" s="127">
        <f>36136.31883 - H56</f>
        <v>36136.318829999997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113.3217</f>
        <v>113.32170000000001</v>
      </c>
      <c r="G29" s="127">
        <f>26891.82172 - F57</f>
        <v>26820.82172</v>
      </c>
      <c r="H29" s="127">
        <f t="shared" si="3"/>
        <v>2844.1782800000001</v>
      </c>
      <c r="I29" s="127">
        <f>37146.29047 - H57</f>
        <v>37146.29047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301.01064</f>
        <v>301.01064000000002</v>
      </c>
      <c r="G30" s="127">
        <f>25157.44581 - F58</f>
        <v>25060.445810000001</v>
      </c>
      <c r="H30" s="127">
        <f t="shared" si="3"/>
        <v>2183.5541899999989</v>
      </c>
      <c r="I30" s="127">
        <f>34851.60242 - H58</f>
        <v>34851.602420000003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191.92476</f>
        <v>191.92475999999999</v>
      </c>
      <c r="G31" s="127">
        <f>18407.59622 - F59</f>
        <v>18323.596219999999</v>
      </c>
      <c r="H31" s="127">
        <f t="shared" si="3"/>
        <v>1015.4037800000006</v>
      </c>
      <c r="I31" s="127">
        <f>23833.07734 - H59</f>
        <v>23833.07734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310</v>
      </c>
      <c r="G32" s="127">
        <f>F55</f>
        <v>310</v>
      </c>
      <c r="H32" s="127">
        <f t="shared" si="3"/>
        <v>7790</v>
      </c>
      <c r="I32" s="127">
        <f>H55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0.48485</f>
        <v>0.48485</v>
      </c>
      <c r="G33" s="132">
        <f>9838.25059</f>
        <v>9838.2505899999996</v>
      </c>
      <c r="H33" s="132">
        <f t="shared" si="3"/>
        <v>7020.7494100000004</v>
      </c>
      <c r="I33" s="132">
        <f>14125.42039</f>
        <v>14125.420389999999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153.30119999999999</v>
      </c>
      <c r="G34" s="132">
        <f>G35+G36</f>
        <v>11468.081529999999</v>
      </c>
      <c r="H34" s="132">
        <f t="shared" si="3"/>
        <v>3568.9184700000005</v>
      </c>
      <c r="I34" s="132">
        <f>I35+I36</f>
        <v>19760.654930000001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107.3012</f>
        <v>107.30119999999999</v>
      </c>
      <c r="G35" s="132">
        <f>14098.08153 - F60 - F61</f>
        <v>11422.081529999999</v>
      </c>
      <c r="H35" s="127">
        <f t="shared" si="3"/>
        <v>2654.9184700000005</v>
      </c>
      <c r="I35" s="127">
        <f>23927.65493 - H60 - H61</f>
        <v>19760.654930000001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46</v>
      </c>
      <c r="G36" s="71">
        <f>F60</f>
        <v>46</v>
      </c>
      <c r="H36" s="71">
        <f t="shared" si="3"/>
        <v>914</v>
      </c>
      <c r="I36" s="71">
        <f>H60</f>
        <v>0</v>
      </c>
      <c r="J36" s="65"/>
    </row>
    <row r="37" spans="1:13" ht="15.75" customHeight="1" x14ac:dyDescent="0.25">
      <c r="A37" s="1"/>
      <c r="B37" s="253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3"/>
    </row>
    <row r="38" spans="1:13" ht="14.1" customHeight="1" x14ac:dyDescent="0.25">
      <c r="A38" s="1"/>
      <c r="B38" s="253"/>
      <c r="C38" s="73" t="s">
        <v>34</v>
      </c>
      <c r="D38" s="143">
        <v>855</v>
      </c>
      <c r="E38" s="143">
        <v>855</v>
      </c>
      <c r="F38" s="98">
        <f>0</f>
        <v>0</v>
      </c>
      <c r="G38" s="98">
        <f>463.82117</f>
        <v>463.82117</v>
      </c>
      <c r="H38" s="98">
        <f t="shared" si="3"/>
        <v>391.17883</v>
      </c>
      <c r="I38" s="98">
        <f>486.26274</f>
        <v>486.26274000000001</v>
      </c>
      <c r="J38" s="243"/>
    </row>
    <row r="39" spans="1:13" ht="17.25" customHeight="1" x14ac:dyDescent="0.2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38</v>
      </c>
      <c r="G39" s="98">
        <f>F61</f>
        <v>2630</v>
      </c>
      <c r="H39" s="98">
        <f t="shared" si="3"/>
        <v>370</v>
      </c>
      <c r="I39" s="98">
        <f>H61</f>
        <v>4167</v>
      </c>
      <c r="J39" s="243"/>
    </row>
    <row r="40" spans="1:13" ht="17.25" customHeight="1" x14ac:dyDescent="0.25">
      <c r="A40" s="1"/>
      <c r="B40" s="253"/>
      <c r="C40" s="73" t="s">
        <v>36</v>
      </c>
      <c r="D40" s="143">
        <v>7000</v>
      </c>
      <c r="E40" s="143">
        <v>7000</v>
      </c>
      <c r="F40" s="98">
        <f>34.03468</f>
        <v>34.034680000000002</v>
      </c>
      <c r="G40" s="98">
        <f>E40</f>
        <v>7000</v>
      </c>
      <c r="H40" s="98">
        <f t="shared" si="3"/>
        <v>0</v>
      </c>
      <c r="I40" s="98">
        <f>E40</f>
        <v>7000</v>
      </c>
      <c r="J40" s="243"/>
    </row>
    <row r="41" spans="1:13" ht="17.25" customHeight="1" x14ac:dyDescent="0.25">
      <c r="A41" s="1"/>
      <c r="B41" s="253"/>
      <c r="C41" s="73" t="s">
        <v>38</v>
      </c>
      <c r="D41" s="143">
        <v>400</v>
      </c>
      <c r="E41" s="143">
        <v>400</v>
      </c>
      <c r="F41" s="98">
        <f>1.5246</f>
        <v>1.5246</v>
      </c>
      <c r="G41" s="98">
        <f>320.31801</f>
        <v>320.31801000000002</v>
      </c>
      <c r="H41" s="98">
        <f>E41-G41</f>
        <v>79.681989999999985</v>
      </c>
      <c r="I41" s="98">
        <f>346.22565</f>
        <v>346.22564999999997</v>
      </c>
      <c r="J41" s="243"/>
    </row>
    <row r="42" spans="1:13" ht="17.25" customHeight="1" x14ac:dyDescent="0.25">
      <c r="A42" s="1"/>
      <c r="B42" s="253"/>
      <c r="C42" s="73" t="s">
        <v>129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" customHeight="1" x14ac:dyDescent="0.25">
      <c r="A43" s="1"/>
      <c r="B43" s="253"/>
      <c r="C43" s="73" t="s">
        <v>39</v>
      </c>
      <c r="D43" s="143"/>
      <c r="E43" s="139"/>
      <c r="F43" s="139">
        <f>0.1652</f>
        <v>0.16520000000000001</v>
      </c>
      <c r="G43" s="139">
        <f>85.68146</f>
        <v>85.681460000000001</v>
      </c>
      <c r="H43" s="139">
        <f t="shared" ref="H43" si="4">E43-G43</f>
        <v>-85.681460000000001</v>
      </c>
      <c r="I43" s="139">
        <f>78.21367</f>
        <v>78.213669999999993</v>
      </c>
      <c r="J43" s="243"/>
    </row>
    <row r="44" spans="1:13" ht="16.5" customHeight="1" x14ac:dyDescent="0.25">
      <c r="A44" s="1"/>
      <c r="B44" s="253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1344.1870999999999</v>
      </c>
      <c r="G44" s="76">
        <f t="shared" si="5"/>
        <v>165371.94863</v>
      </c>
      <c r="H44" s="76">
        <f t="shared" si="5"/>
        <v>53669.051369999986</v>
      </c>
      <c r="I44" s="76">
        <f t="shared" si="5"/>
        <v>226782.73376</v>
      </c>
      <c r="J44" s="243"/>
    </row>
    <row r="45" spans="1:13" ht="14.1" customHeight="1" x14ac:dyDescent="0.25">
      <c r="A45" s="101"/>
      <c r="B45" s="24"/>
      <c r="C45" s="77" t="s">
        <v>130</v>
      </c>
      <c r="D45" s="257"/>
      <c r="E45" s="257"/>
      <c r="F45" s="80"/>
      <c r="G45" s="80"/>
      <c r="H45" s="227"/>
      <c r="I45" s="227"/>
      <c r="J45" s="81"/>
    </row>
    <row r="46" spans="1:13" ht="14.1" customHeight="1" x14ac:dyDescent="0.2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" customHeight="1" x14ac:dyDescent="0.25">
      <c r="A47" s="101"/>
      <c r="B47" s="24"/>
      <c r="C47" s="161" t="s">
        <v>146</v>
      </c>
      <c r="D47" s="257"/>
      <c r="E47" s="257"/>
      <c r="F47" s="257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131</v>
      </c>
      <c r="D48" s="257"/>
      <c r="E48" s="257"/>
      <c r="F48" s="257"/>
      <c r="G48" s="257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" customHeight="1" x14ac:dyDescent="0.2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2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2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2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147</v>
      </c>
      <c r="F54" s="68" t="s">
        <v>148</v>
      </c>
      <c r="G54" s="68" t="s">
        <v>149</v>
      </c>
      <c r="H54" s="68" t="s">
        <v>150</v>
      </c>
      <c r="I54" s="257"/>
      <c r="J54" s="243"/>
    </row>
    <row r="55" spans="1:10" ht="14.1" customHeight="1" x14ac:dyDescent="0.25">
      <c r="A55" s="101"/>
      <c r="B55" s="24"/>
      <c r="C55" s="16" t="s">
        <v>45</v>
      </c>
      <c r="D55" s="295">
        <v>7872</v>
      </c>
      <c r="E55" s="11">
        <f>E59+E58+E57+E56</f>
        <v>310</v>
      </c>
      <c r="F55" s="11">
        <f>F59+F58+F57+F56</f>
        <v>310</v>
      </c>
      <c r="G55" s="295">
        <f>D55-F55</f>
        <v>7562</v>
      </c>
      <c r="H55" s="11">
        <f>H59+H58+H57+H56</f>
        <v>0</v>
      </c>
      <c r="I55" s="257"/>
      <c r="J55" s="243"/>
    </row>
    <row r="56" spans="1:10" ht="14.1" customHeight="1" x14ac:dyDescent="0.25">
      <c r="A56" s="101"/>
      <c r="B56" s="24"/>
      <c r="C56" s="62" t="s">
        <v>24</v>
      </c>
      <c r="D56" s="296"/>
      <c r="E56" s="127">
        <v>58</v>
      </c>
      <c r="F56" s="127">
        <v>58</v>
      </c>
      <c r="G56" s="296"/>
      <c r="H56" s="127"/>
      <c r="I56" s="257"/>
      <c r="J56" s="243"/>
    </row>
    <row r="57" spans="1:10" ht="14.1" customHeight="1" x14ac:dyDescent="0.25">
      <c r="A57" s="101"/>
      <c r="B57" s="24"/>
      <c r="C57" s="62" t="s">
        <v>25</v>
      </c>
      <c r="D57" s="296"/>
      <c r="E57" s="127">
        <v>71</v>
      </c>
      <c r="F57" s="127">
        <v>71</v>
      </c>
      <c r="G57" s="296"/>
      <c r="H57" s="127"/>
      <c r="I57" s="257"/>
      <c r="J57" s="243"/>
    </row>
    <row r="58" spans="1:10" ht="14.1" customHeight="1" x14ac:dyDescent="0.25">
      <c r="A58" s="101"/>
      <c r="B58" s="24"/>
      <c r="C58" s="62" t="s">
        <v>26</v>
      </c>
      <c r="D58" s="296"/>
      <c r="E58" s="127">
        <v>97</v>
      </c>
      <c r="F58" s="127">
        <v>97</v>
      </c>
      <c r="G58" s="296"/>
      <c r="H58" s="127"/>
      <c r="I58" s="257"/>
      <c r="J58" s="243"/>
    </row>
    <row r="59" spans="1:10" ht="14.1" customHeight="1" x14ac:dyDescent="0.25">
      <c r="A59" s="101"/>
      <c r="B59" s="24"/>
      <c r="C59" s="87" t="s">
        <v>27</v>
      </c>
      <c r="D59" s="297"/>
      <c r="E59" s="192">
        <v>84</v>
      </c>
      <c r="F59" s="192">
        <v>84</v>
      </c>
      <c r="G59" s="297"/>
      <c r="H59" s="192"/>
      <c r="I59" s="257"/>
      <c r="J59" s="243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>
        <v>46</v>
      </c>
      <c r="F60" s="95">
        <v>46</v>
      </c>
      <c r="G60" s="95">
        <f>D60-F60</f>
        <v>914</v>
      </c>
      <c r="H60" s="95"/>
      <c r="I60" s="257"/>
      <c r="J60" s="243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38</v>
      </c>
      <c r="F61" s="139">
        <v>2630</v>
      </c>
      <c r="G61" s="139">
        <f>D61-F61</f>
        <v>370</v>
      </c>
      <c r="H61" s="139">
        <v>4167</v>
      </c>
      <c r="I61" s="257"/>
      <c r="J61" s="243"/>
    </row>
    <row r="62" spans="1:10" ht="14.1" customHeight="1" x14ac:dyDescent="0.25">
      <c r="A62" s="101"/>
      <c r="B62" s="24"/>
      <c r="C62" s="77" t="s">
        <v>132</v>
      </c>
      <c r="D62" s="257"/>
      <c r="E62" s="257"/>
      <c r="F62" s="257"/>
      <c r="G62" s="257"/>
      <c r="H62" s="178"/>
      <c r="I62" s="178"/>
      <c r="J62" s="120"/>
    </row>
    <row r="63" spans="1:10" ht="14.1" customHeight="1" x14ac:dyDescent="0.2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2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204" customHeight="1" x14ac:dyDescent="0.25"/>
    <row r="78" spans="1:10" ht="17.100000000000001" customHeight="1" x14ac:dyDescent="0.2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8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3"/>
    </row>
    <row r="82" spans="1:10" ht="15" customHeight="1" x14ac:dyDescent="0.25">
      <c r="B82" s="253"/>
      <c r="C82" s="115" t="s">
        <v>6</v>
      </c>
      <c r="D82" s="117">
        <v>70605</v>
      </c>
      <c r="E82" s="258" t="s">
        <v>4</v>
      </c>
      <c r="F82" s="114">
        <v>26707</v>
      </c>
      <c r="G82" s="191" t="s">
        <v>5</v>
      </c>
      <c r="H82" s="114">
        <v>7843</v>
      </c>
      <c r="I82" s="178"/>
      <c r="J82" s="243"/>
    </row>
    <row r="83" spans="1:10" ht="15" customHeight="1" x14ac:dyDescent="0.25">
      <c r="B83" s="253"/>
      <c r="C83" s="115" t="s">
        <v>9</v>
      </c>
      <c r="D83" s="117">
        <v>61605</v>
      </c>
      <c r="E83" s="247" t="s">
        <v>7</v>
      </c>
      <c r="F83" s="117">
        <v>43575</v>
      </c>
      <c r="G83" s="191" t="s">
        <v>8</v>
      </c>
      <c r="H83" s="117">
        <v>32246</v>
      </c>
      <c r="I83" s="178"/>
      <c r="J83" s="243"/>
    </row>
    <row r="84" spans="1:10" ht="14.1" customHeight="1" x14ac:dyDescent="0.2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3"/>
    </row>
    <row r="85" spans="1:10" ht="12" customHeight="1" x14ac:dyDescent="0.2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3"/>
    </row>
    <row r="86" spans="1:10" ht="14.25" customHeight="1" x14ac:dyDescent="0.25">
      <c r="A86" s="1"/>
      <c r="B86" s="253"/>
      <c r="C86" s="101" t="s">
        <v>142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2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" customHeight="1" x14ac:dyDescent="0.2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2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2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147</v>
      </c>
      <c r="G91" s="15" t="s">
        <v>148</v>
      </c>
      <c r="H91" s="15" t="s">
        <v>149</v>
      </c>
      <c r="I91" s="15" t="s">
        <v>150</v>
      </c>
      <c r="J91" s="120"/>
    </row>
    <row r="92" spans="1:10" ht="14.1" customHeight="1" x14ac:dyDescent="0.25">
      <c r="A92" s="1"/>
      <c r="B92" s="253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6.6205999999999996</v>
      </c>
      <c r="G92" s="11">
        <f t="shared" si="6"/>
        <v>23204.741839999999</v>
      </c>
      <c r="H92" s="11">
        <f t="shared" si="6"/>
        <v>2756.2581599999994</v>
      </c>
      <c r="I92" s="11">
        <f t="shared" si="6"/>
        <v>38805.009870000002</v>
      </c>
      <c r="J92" s="243"/>
    </row>
    <row r="93" spans="1:10" ht="15" customHeight="1" x14ac:dyDescent="0.25">
      <c r="A93" s="1"/>
      <c r="B93" s="253"/>
      <c r="C93" s="44" t="s">
        <v>20</v>
      </c>
      <c r="D93" s="45">
        <v>25957</v>
      </c>
      <c r="E93" s="45">
        <v>25136</v>
      </c>
      <c r="F93" s="23">
        <f>6.6206</f>
        <v>6.6205999999999996</v>
      </c>
      <c r="G93" s="23">
        <f>22426.50459</f>
        <v>22426.50459</v>
      </c>
      <c r="H93" s="23">
        <f>E93-G93</f>
        <v>2709.4954099999995</v>
      </c>
      <c r="I93" s="23">
        <f>38305.28953</f>
        <v>38305.289530000002</v>
      </c>
      <c r="J93" s="243"/>
    </row>
    <row r="94" spans="1:10" ht="14.1" customHeight="1" x14ac:dyDescent="0.25">
      <c r="A94" s="1"/>
      <c r="B94" s="253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778.23725</f>
        <v>778.23725000000002</v>
      </c>
      <c r="H94" s="50">
        <f>E94-G94</f>
        <v>46.762749999999983</v>
      </c>
      <c r="I94" s="50">
        <f>499.72034</f>
        <v>499.72034000000002</v>
      </c>
      <c r="J94" s="243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424.15287000000001</v>
      </c>
      <c r="G95" s="11">
        <f t="shared" si="7"/>
        <v>31567.585419999999</v>
      </c>
      <c r="H95" s="11">
        <f t="shared" si="7"/>
        <v>17426.414580000001</v>
      </c>
      <c r="I95" s="11">
        <f t="shared" si="7"/>
        <v>22395.96528</v>
      </c>
      <c r="J95" s="243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380.09343999999999</v>
      </c>
      <c r="G96" s="132">
        <f t="shared" si="8"/>
        <v>24807.578889999997</v>
      </c>
      <c r="H96" s="132">
        <f t="shared" si="8"/>
        <v>12686.421110000003</v>
      </c>
      <c r="I96" s="132">
        <f t="shared" si="8"/>
        <v>16018.361920000001</v>
      </c>
      <c r="J96" s="243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50.99043</f>
        <v>50.990430000000003</v>
      </c>
      <c r="G97" s="127">
        <f>4144.44651</f>
        <v>4144.4465099999998</v>
      </c>
      <c r="H97" s="127">
        <f t="shared" ref="H97:H104" si="9">E97-G97</f>
        <v>5870.5534900000002</v>
      </c>
      <c r="I97" s="127">
        <f>2413.80114</f>
        <v>2413.80114</v>
      </c>
      <c r="J97" s="243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169.15081</f>
        <v>169.15081000000001</v>
      </c>
      <c r="G98" s="127">
        <f>8475.9682</f>
        <v>8475.9681999999993</v>
      </c>
      <c r="H98" s="127">
        <f t="shared" si="9"/>
        <v>2138.0318000000007</v>
      </c>
      <c r="I98" s="127">
        <f>5105.37152</f>
        <v>5105.3715199999997</v>
      </c>
      <c r="J98" s="243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31.80632</f>
        <v>31.806319999999999</v>
      </c>
      <c r="G99" s="127">
        <f>7519.32903</f>
        <v>7519.3290299999999</v>
      </c>
      <c r="H99" s="127">
        <f t="shared" si="9"/>
        <v>2592.6709700000001</v>
      </c>
      <c r="I99" s="127">
        <f>4434.58621</f>
        <v>4434.5862100000004</v>
      </c>
      <c r="J99" s="243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128.14588</f>
        <v>128.14588000000001</v>
      </c>
      <c r="G100" s="127">
        <f>4667.83515</f>
        <v>4667.8351499999999</v>
      </c>
      <c r="H100" s="127">
        <f t="shared" si="9"/>
        <v>2085.1648500000001</v>
      </c>
      <c r="I100" s="127">
        <f>4064.60305</f>
        <v>4064.6030500000002</v>
      </c>
      <c r="J100" s="243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0.10942</f>
        <v>0.10942</v>
      </c>
      <c r="G101" s="132">
        <f>4930.11185</f>
        <v>4930.1118500000002</v>
      </c>
      <c r="H101" s="132">
        <f t="shared" si="9"/>
        <v>2665.8881499999998</v>
      </c>
      <c r="I101" s="132">
        <f>5146.6793</f>
        <v>5146.6792999999998</v>
      </c>
      <c r="J101" s="243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43.95001</f>
        <v>43.950009999999999</v>
      </c>
      <c r="G102" s="75">
        <f>1829.89468</f>
        <v>1829.8946800000001</v>
      </c>
      <c r="H102" s="75">
        <f t="shared" si="9"/>
        <v>2074.1053199999997</v>
      </c>
      <c r="I102" s="75">
        <f>1230.92406</f>
        <v>1230.9240600000001</v>
      </c>
      <c r="J102" s="243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</f>
        <v>0</v>
      </c>
      <c r="G103" s="98">
        <f>36.10276</f>
        <v>36.102760000000004</v>
      </c>
      <c r="H103" s="98">
        <f t="shared" si="9"/>
        <v>282.89724000000001</v>
      </c>
      <c r="I103" s="98">
        <f>11.24867</f>
        <v>11.248670000000001</v>
      </c>
      <c r="J103" s="243"/>
    </row>
    <row r="104" spans="1:10" ht="18" customHeight="1" x14ac:dyDescent="0.25">
      <c r="A104" s="1"/>
      <c r="B104" s="253"/>
      <c r="C104" s="73" t="s">
        <v>54</v>
      </c>
      <c r="D104" s="143">
        <v>300</v>
      </c>
      <c r="E104" s="143">
        <v>300</v>
      </c>
      <c r="F104" s="139">
        <f>2.91957</f>
        <v>2.9195700000000002</v>
      </c>
      <c r="G104" s="139">
        <f>E104</f>
        <v>300</v>
      </c>
      <c r="H104" s="139">
        <f t="shared" si="9"/>
        <v>0</v>
      </c>
      <c r="I104" s="139">
        <f>E104</f>
        <v>300</v>
      </c>
      <c r="J104" s="243"/>
    </row>
    <row r="105" spans="1:10" ht="16.5" customHeight="1" x14ac:dyDescent="0.25">
      <c r="A105" s="1"/>
      <c r="B105" s="253"/>
      <c r="C105" s="93" t="s">
        <v>38</v>
      </c>
      <c r="D105" s="143">
        <v>50</v>
      </c>
      <c r="E105" s="143">
        <v>50</v>
      </c>
      <c r="F105" s="98">
        <f>0.5123</f>
        <v>0.51229999999999998</v>
      </c>
      <c r="G105" s="98">
        <f>20.10136</f>
        <v>20.10136</v>
      </c>
      <c r="H105" s="139">
        <f>E105-G105</f>
        <v>29.89864</v>
      </c>
      <c r="I105" s="98">
        <f>7.1056</f>
        <v>7.1055999999999999</v>
      </c>
      <c r="J105" s="243"/>
    </row>
    <row r="106" spans="1:10" ht="18" customHeight="1" x14ac:dyDescent="0.25">
      <c r="A106" s="1"/>
      <c r="B106" s="253"/>
      <c r="C106" s="93" t="s">
        <v>55</v>
      </c>
      <c r="D106" s="143"/>
      <c r="E106" s="139"/>
      <c r="F106" s="139">
        <f>0.62586</f>
        <v>0.62585999999999997</v>
      </c>
      <c r="G106" s="139">
        <f>17.74218</f>
        <v>17.742180000000001</v>
      </c>
      <c r="H106" s="139">
        <f t="shared" ref="H106" si="10">E106-G106</f>
        <v>-17.742180000000001</v>
      </c>
      <c r="I106" s="139">
        <f>87.90276</f>
        <v>87.902760000000001</v>
      </c>
      <c r="J106" s="243"/>
    </row>
    <row r="107" spans="1:10" ht="16.5" customHeight="1" x14ac:dyDescent="0.25">
      <c r="A107" s="1"/>
      <c r="B107" s="253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434.83120000000002</v>
      </c>
      <c r="G107" s="76">
        <f t="shared" si="12"/>
        <v>55146.273560000001</v>
      </c>
      <c r="H107" s="76">
        <f t="shared" si="12"/>
        <v>20477.726439999999</v>
      </c>
      <c r="I107" s="76">
        <f t="shared" si="12"/>
        <v>61607.232179999999</v>
      </c>
      <c r="J107" s="243"/>
    </row>
    <row r="108" spans="1:10" ht="13.5" customHeight="1" x14ac:dyDescent="0.25">
      <c r="A108" s="1"/>
      <c r="B108" s="253"/>
      <c r="C108" s="77" t="s">
        <v>133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25">
      <c r="A109" s="1"/>
      <c r="B109" s="24"/>
      <c r="C109" s="161" t="s">
        <v>144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25">
      <c r="A110" s="1"/>
      <c r="B110" s="24"/>
      <c r="C110" s="161" t="s">
        <v>134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2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2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" customHeight="1" x14ac:dyDescent="0.25">
      <c r="A119" s="1"/>
      <c r="B119" s="253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3"/>
    </row>
    <row r="120" spans="1:10" ht="14.1" customHeight="1" x14ac:dyDescent="0.25">
      <c r="A120" s="1"/>
      <c r="B120" s="253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3"/>
    </row>
    <row r="121" spans="1:10" ht="14.1" customHeight="1" x14ac:dyDescent="0.25">
      <c r="A121" s="1"/>
      <c r="B121" s="253"/>
      <c r="C121" s="247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3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3"/>
    </row>
    <row r="123" spans="1:10" ht="12" customHeight="1" x14ac:dyDescent="0.25">
      <c r="A123" s="1"/>
      <c r="B123" s="253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3"/>
    </row>
    <row r="124" spans="1:10" ht="12" customHeight="1" x14ac:dyDescent="0.2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2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147</v>
      </c>
      <c r="G127" s="15" t="s">
        <v>148</v>
      </c>
      <c r="H127" s="15" t="s">
        <v>149</v>
      </c>
      <c r="I127" s="15" t="s">
        <v>150</v>
      </c>
      <c r="J127" s="279"/>
    </row>
    <row r="128" spans="1:10" ht="14.1" customHeight="1" x14ac:dyDescent="0.2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36.300150000000002</v>
      </c>
      <c r="G128" s="11">
        <f t="shared" si="13"/>
        <v>39268.168479999993</v>
      </c>
      <c r="H128" s="11">
        <f t="shared" si="13"/>
        <v>33038.831520000007</v>
      </c>
      <c r="I128" s="11">
        <f t="shared" si="13"/>
        <v>39467.640139999996</v>
      </c>
      <c r="J128" s="243"/>
    </row>
    <row r="129" spans="1:10" ht="14.1" customHeight="1" x14ac:dyDescent="0.25">
      <c r="A129" s="1"/>
      <c r="B129" s="253"/>
      <c r="C129" s="44" t="s">
        <v>20</v>
      </c>
      <c r="D129" s="45">
        <v>60688</v>
      </c>
      <c r="E129" s="45">
        <v>57562</v>
      </c>
      <c r="F129" s="23">
        <f>36.30015</f>
        <v>36.300150000000002</v>
      </c>
      <c r="G129" s="23">
        <f>34840.77632</f>
        <v>34840.776319999997</v>
      </c>
      <c r="H129" s="23">
        <f>E129-G129</f>
        <v>22721.223680000003</v>
      </c>
      <c r="I129" s="23">
        <f>34804.53391</f>
        <v>34804.533909999998</v>
      </c>
      <c r="J129" s="243"/>
    </row>
    <row r="130" spans="1:10" ht="15" customHeight="1" x14ac:dyDescent="0.25">
      <c r="A130" s="1"/>
      <c r="B130" s="253"/>
      <c r="C130" s="44" t="s">
        <v>21</v>
      </c>
      <c r="D130" s="45">
        <v>14672</v>
      </c>
      <c r="E130" s="45">
        <v>14245</v>
      </c>
      <c r="F130" s="23">
        <f>0</f>
        <v>0</v>
      </c>
      <c r="G130" s="23">
        <f>4361.94201</f>
        <v>4361.9420099999998</v>
      </c>
      <c r="H130" s="23">
        <f>E130-G130</f>
        <v>9883.0579900000012</v>
      </c>
      <c r="I130" s="23">
        <f>4547.79998</f>
        <v>4547.7999799999998</v>
      </c>
      <c r="J130" s="243"/>
    </row>
    <row r="131" spans="1:10" ht="13.5" customHeight="1" x14ac:dyDescent="0.25">
      <c r="A131" s="1"/>
      <c r="B131" s="253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65.45015</f>
        <v>65.450149999999994</v>
      </c>
      <c r="H131" s="55">
        <f>E131-G131</f>
        <v>434.54984999999999</v>
      </c>
      <c r="I131" s="23">
        <f>115.30625</f>
        <v>115.30625000000001</v>
      </c>
      <c r="J131" s="243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94.70872</f>
        <v>94.70872</v>
      </c>
      <c r="G132" s="95">
        <f>8852.6498+2483.9</f>
        <v>11336.549799999999</v>
      </c>
      <c r="H132" s="95">
        <f>E132-G132</f>
        <v>41159.450199999999</v>
      </c>
      <c r="I132" s="95">
        <f>26760.55959</f>
        <v>26760.559590000001</v>
      </c>
      <c r="J132" s="116"/>
    </row>
    <row r="133" spans="1:10" ht="15.75" customHeight="1" x14ac:dyDescent="0.2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645.12162999999998</v>
      </c>
      <c r="G133" s="94">
        <f t="shared" ref="G133" si="14">G134+G139+G142</f>
        <v>47395.915695000003</v>
      </c>
      <c r="H133" s="94">
        <f>H134+H139+H142</f>
        <v>32769.084305000004</v>
      </c>
      <c r="I133" s="94">
        <f>I134+I139+I142</f>
        <v>48543.310989999998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477.80835000000002</v>
      </c>
      <c r="G134" s="125">
        <f>G135+G136+G138+G137</f>
        <v>34933.058105000004</v>
      </c>
      <c r="H134" s="125">
        <f>H135+H136+H137+H138</f>
        <v>24145.941895000004</v>
      </c>
      <c r="I134" s="125">
        <f>I135+I136+I137+I138</f>
        <v>38103.765500000001</v>
      </c>
      <c r="J134" s="279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148.44937</f>
        <v>148.44936999999999</v>
      </c>
      <c r="G135" s="127">
        <v>6874.77999</v>
      </c>
      <c r="H135" s="127">
        <f>E135-G135</f>
        <v>10899.220010000001</v>
      </c>
      <c r="I135" s="127">
        <f>6121.39672</f>
        <v>6121.3967199999997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96.25933</f>
        <v>96.259330000000006</v>
      </c>
      <c r="G136" s="127">
        <v>10468.415725000001</v>
      </c>
      <c r="H136" s="127">
        <f>E136-G136</f>
        <v>4470.5842749999993</v>
      </c>
      <c r="I136" s="127">
        <f>10308.63985</f>
        <v>10308.63985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130.43745</f>
        <v>130.43745000000001</v>
      </c>
      <c r="G137" s="127">
        <v>9292.6686200000004</v>
      </c>
      <c r="H137" s="127">
        <f>E137-G137</f>
        <v>3758.3313799999996</v>
      </c>
      <c r="I137" s="127">
        <f>11084.88869</f>
        <v>11084.88869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102.6622</f>
        <v>102.6622</v>
      </c>
      <c r="G138" s="127">
        <v>8297.1937699999999</v>
      </c>
      <c r="H138" s="127">
        <f>E138-G138</f>
        <v>5017.8062300000001</v>
      </c>
      <c r="I138" s="127">
        <f>10588.84024</f>
        <v>10588.84024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12.108120000000001</v>
      </c>
      <c r="G139" s="132">
        <f>SUM(G140:G141)</f>
        <v>8680.2434599999997</v>
      </c>
      <c r="H139" s="132">
        <f>H140+H141</f>
        <v>249.75654000000088</v>
      </c>
      <c r="I139" s="132">
        <f>SUM(I140:I141)</f>
        <v>6384.2000200000002</v>
      </c>
      <c r="J139" s="133"/>
    </row>
    <row r="140" spans="1:10" ht="14.1" customHeight="1" x14ac:dyDescent="0.25">
      <c r="A140" s="1"/>
      <c r="B140" s="253"/>
      <c r="C140" s="62" t="s">
        <v>66</v>
      </c>
      <c r="D140" s="63">
        <v>8070</v>
      </c>
      <c r="E140" s="63">
        <v>8430</v>
      </c>
      <c r="F140" s="127">
        <f>11.2146</f>
        <v>11.214600000000001</v>
      </c>
      <c r="G140" s="127">
        <f>8302.24017</f>
        <v>8302.2401699999991</v>
      </c>
      <c r="H140" s="127">
        <f t="shared" ref="H140:H148" si="15">E140-G140</f>
        <v>127.75983000000087</v>
      </c>
      <c r="I140" s="127">
        <f>6235.8124</f>
        <v>6235.8123999999998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0.89352</f>
        <v>0.89351999999999998</v>
      </c>
      <c r="G141" s="127">
        <f>378.00329</f>
        <v>378.00328999999999</v>
      </c>
      <c r="H141" s="127">
        <f t="shared" si="15"/>
        <v>121.99671000000001</v>
      </c>
      <c r="I141" s="127">
        <f>148.38762</f>
        <v>148.38762</v>
      </c>
      <c r="J141" s="134"/>
    </row>
    <row r="142" spans="1:10" ht="15.75" customHeight="1" x14ac:dyDescent="0.25">
      <c r="A142" s="1"/>
      <c r="B142" s="253"/>
      <c r="C142" s="38" t="s">
        <v>11</v>
      </c>
      <c r="D142" s="61">
        <v>10907</v>
      </c>
      <c r="E142" s="61">
        <v>12156</v>
      </c>
      <c r="F142" s="75">
        <f>155.20516</f>
        <v>155.20516000000001</v>
      </c>
      <c r="G142" s="75">
        <f>3782.61413</f>
        <v>3782.6141299999999</v>
      </c>
      <c r="H142" s="75">
        <f t="shared" si="15"/>
        <v>8373.3858700000001</v>
      </c>
      <c r="I142" s="75">
        <f>4055.34547</f>
        <v>4055.3454700000002</v>
      </c>
      <c r="J142" s="120"/>
    </row>
    <row r="143" spans="1:10" ht="15.75" customHeight="1" x14ac:dyDescent="0.25">
      <c r="A143" s="1"/>
      <c r="B143" s="253"/>
      <c r="C143" s="142" t="s">
        <v>34</v>
      </c>
      <c r="D143" s="143">
        <v>146</v>
      </c>
      <c r="E143" s="143">
        <v>146</v>
      </c>
      <c r="F143" s="139">
        <f>0</f>
        <v>0</v>
      </c>
      <c r="G143" s="139">
        <f>15.71255</f>
        <v>15.71255</v>
      </c>
      <c r="H143" s="139">
        <f t="shared" si="15"/>
        <v>130.28745000000001</v>
      </c>
      <c r="I143" s="139">
        <f>30.361</f>
        <v>30.361000000000001</v>
      </c>
      <c r="J143" s="120"/>
    </row>
    <row r="144" spans="1:10" ht="15.75" customHeight="1" x14ac:dyDescent="0.25">
      <c r="A144" s="1"/>
      <c r="B144" s="253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255.886</f>
        <v>255.886</v>
      </c>
      <c r="H144" s="98">
        <f t="shared" si="15"/>
        <v>-5.8859999999999957</v>
      </c>
      <c r="I144" s="98">
        <f>262.581</f>
        <v>262.58100000000002</v>
      </c>
      <c r="J144" s="120"/>
    </row>
    <row r="145" spans="1:10" ht="18" customHeight="1" x14ac:dyDescent="0.25">
      <c r="A145" s="1"/>
      <c r="B145" s="253"/>
      <c r="C145" s="140" t="s">
        <v>69</v>
      </c>
      <c r="D145" s="143">
        <v>2000</v>
      </c>
      <c r="E145" s="143">
        <v>2000</v>
      </c>
      <c r="F145" s="139">
        <f>49.5822</f>
        <v>49.5822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3"/>
    </row>
    <row r="146" spans="1:10" ht="15.75" customHeight="1" x14ac:dyDescent="0.2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3"/>
      <c r="C147" s="142" t="s">
        <v>70</v>
      </c>
      <c r="D147" s="143">
        <v>276</v>
      </c>
      <c r="E147" s="143">
        <v>276</v>
      </c>
      <c r="F147" s="98">
        <f>0.663</f>
        <v>0.66300000000000003</v>
      </c>
      <c r="G147" s="98">
        <f>39.12473</f>
        <v>39.12473</v>
      </c>
      <c r="H147" s="139">
        <f t="shared" si="15"/>
        <v>236.87527</v>
      </c>
      <c r="I147" s="98">
        <f>26.67193</f>
        <v>26.67193</v>
      </c>
      <c r="J147" s="120"/>
    </row>
    <row r="148" spans="1:10" ht="15" customHeight="1" x14ac:dyDescent="0.25">
      <c r="A148" s="1"/>
      <c r="B148" s="253"/>
      <c r="C148" s="142" t="s">
        <v>39</v>
      </c>
      <c r="D148" s="145"/>
      <c r="E148" s="143"/>
      <c r="F148" s="139">
        <f>0.281</f>
        <v>0.28100000000000003</v>
      </c>
      <c r="G148" s="139">
        <f>111.88909</f>
        <v>111.88909</v>
      </c>
      <c r="H148" s="139">
        <f t="shared" si="15"/>
        <v>-111.88909</v>
      </c>
      <c r="I148" s="139">
        <f>91.20693</f>
        <v>91.20693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826.6567</v>
      </c>
      <c r="G150" s="76">
        <f>G128+G132+G133+G143+G144+G145+G146+G147+G148</f>
        <v>100423.24634499999</v>
      </c>
      <c r="H150" s="76">
        <f>H128+H132+H133+H143+H144+H145+H146+H147+H148</f>
        <v>107216.75365500001</v>
      </c>
      <c r="I150" s="76">
        <f>I128+I132+I133+I143+I144+I145+I146+I147+I148</f>
        <v>117182.33158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135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25">
      <c r="A153" s="156"/>
      <c r="B153" s="52"/>
      <c r="C153" s="161" t="s">
        <v>151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25">
      <c r="A154" s="156"/>
      <c r="B154" s="52"/>
      <c r="C154" s="77" t="s">
        <v>145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25">
      <c r="A156" s="156"/>
      <c r="B156" s="52"/>
      <c r="C156" s="77" t="s">
        <v>136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" customHeight="1" x14ac:dyDescent="0.25">
      <c r="A166" s="1"/>
      <c r="B166" s="253"/>
      <c r="C166" s="177" t="s">
        <v>6</v>
      </c>
      <c r="D166" s="189">
        <v>10823</v>
      </c>
      <c r="E166" s="280"/>
      <c r="F166" s="280"/>
      <c r="G166" s="280"/>
      <c r="H166" s="1"/>
      <c r="I166" s="1"/>
      <c r="J166" s="120"/>
    </row>
    <row r="167" spans="1:10" ht="14.1" customHeight="1" x14ac:dyDescent="0.25">
      <c r="A167" s="1"/>
      <c r="B167" s="253"/>
      <c r="C167" s="177" t="s">
        <v>9</v>
      </c>
      <c r="D167" s="189">
        <f>8888 + 750</f>
        <v>9638</v>
      </c>
      <c r="E167" s="280"/>
      <c r="F167" s="280"/>
      <c r="G167" s="234"/>
      <c r="H167" s="1"/>
      <c r="I167" s="1"/>
      <c r="J167" s="120"/>
    </row>
    <row r="168" spans="1:10" ht="14.1" customHeight="1" x14ac:dyDescent="0.25">
      <c r="A168" s="1"/>
      <c r="B168" s="253"/>
      <c r="C168" s="177" t="s">
        <v>74</v>
      </c>
      <c r="D168" s="189">
        <v>790</v>
      </c>
      <c r="E168" s="280"/>
      <c r="F168" s="280"/>
      <c r="G168" s="280"/>
      <c r="H168" s="1"/>
      <c r="I168" s="1"/>
      <c r="J168" s="120"/>
    </row>
    <row r="169" spans="1:10" ht="14.1" customHeight="1" x14ac:dyDescent="0.25">
      <c r="A169" s="1"/>
      <c r="B169" s="253"/>
      <c r="C169" s="177" t="s">
        <v>49</v>
      </c>
      <c r="D169" s="189">
        <f>SUM(D166:D168)</f>
        <v>21251</v>
      </c>
      <c r="E169" s="280"/>
      <c r="F169" s="280"/>
      <c r="G169" s="280"/>
      <c r="H169" s="1"/>
      <c r="I169" s="1"/>
      <c r="J169" s="120"/>
    </row>
    <row r="170" spans="1:10" ht="14.1" customHeight="1" x14ac:dyDescent="0.2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2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2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147</v>
      </c>
      <c r="F174" s="15" t="s">
        <v>148</v>
      </c>
      <c r="G174" s="54" t="s">
        <v>149</v>
      </c>
      <c r="H174" s="15" t="s">
        <v>150</v>
      </c>
      <c r="I174" s="156"/>
      <c r="J174" s="279"/>
    </row>
    <row r="175" spans="1:10" ht="14.1" customHeight="1" x14ac:dyDescent="0.25">
      <c r="A175" s="1"/>
      <c r="B175" s="253"/>
      <c r="C175" s="141" t="s">
        <v>75</v>
      </c>
      <c r="D175" s="94">
        <v>4223</v>
      </c>
      <c r="E175" s="275">
        <f>0</f>
        <v>0</v>
      </c>
      <c r="F175" s="275">
        <f>638.54644</f>
        <v>638.54643999999996</v>
      </c>
      <c r="G175" s="43">
        <f>D175-F175-F176</f>
        <v>2417.1454800000001</v>
      </c>
      <c r="H175" s="275">
        <f>1047.61957</f>
        <v>1047.6195700000001</v>
      </c>
      <c r="I175" s="1"/>
      <c r="J175" s="120"/>
    </row>
    <row r="176" spans="1:10" ht="14.1" customHeight="1" x14ac:dyDescent="0.25">
      <c r="A176" s="1"/>
      <c r="B176" s="253"/>
      <c r="C176" s="137" t="s">
        <v>53</v>
      </c>
      <c r="D176" s="181"/>
      <c r="E176" s="152">
        <f>0</f>
        <v>0</v>
      </c>
      <c r="F176" s="152">
        <f>1167.30808</f>
        <v>1167.30808</v>
      </c>
      <c r="G176" s="216"/>
      <c r="H176" s="152">
        <f>1219.39554</f>
        <v>1219.39554</v>
      </c>
      <c r="I176" s="1"/>
      <c r="J176" s="120"/>
    </row>
    <row r="177" spans="1:10" ht="15.6" customHeight="1" x14ac:dyDescent="0.25">
      <c r="A177" s="1"/>
      <c r="B177" s="253"/>
      <c r="C177" s="169" t="s">
        <v>76</v>
      </c>
      <c r="D177" s="98">
        <v>200</v>
      </c>
      <c r="E177" s="172">
        <f>0</f>
        <v>0</v>
      </c>
      <c r="F177" s="172">
        <f>82.16938</f>
        <v>82.169380000000004</v>
      </c>
      <c r="G177" s="172">
        <f>D177-F177</f>
        <v>117.83062</v>
      </c>
      <c r="H177" s="172">
        <f>55.41002</f>
        <v>55.410020000000003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3.1831800000000001</v>
      </c>
      <c r="F178" s="181">
        <f>F179+F180+F181</f>
        <v>3846.0364599999998</v>
      </c>
      <c r="G178" s="181">
        <f>D178-F178</f>
        <v>2487.9635400000002</v>
      </c>
      <c r="H178" s="181">
        <f>H179+H180+H181</f>
        <v>4844.7152699999997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1.40034</f>
        <v>1.4003399999999999</v>
      </c>
      <c r="F179" s="127">
        <f>1855.56514</f>
        <v>1855.5651399999999</v>
      </c>
      <c r="G179" s="127"/>
      <c r="H179" s="127">
        <f>2242.02297</f>
        <v>2242.02297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1.78284</f>
        <v>1.78284</v>
      </c>
      <c r="F180" s="127">
        <f>1204.29498</f>
        <v>1204.2949799999999</v>
      </c>
      <c r="G180" s="127"/>
      <c r="H180" s="127">
        <f>1586.1706</f>
        <v>1586.1705999999999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0</f>
        <v>0</v>
      </c>
      <c r="F181" s="192">
        <f>786.17634</f>
        <v>786.17633999999998</v>
      </c>
      <c r="G181" s="192"/>
      <c r="H181" s="192">
        <f>1016.5217</f>
        <v>1016.5217</v>
      </c>
      <c r="I181" s="186"/>
      <c r="J181" s="187"/>
    </row>
    <row r="182" spans="1:10" ht="14.1" customHeight="1" x14ac:dyDescent="0.2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2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3.1831800000000001</v>
      </c>
      <c r="F184" s="194">
        <f>F175+F176+F177+F178+F182+F183</f>
        <v>5734.0603599999995</v>
      </c>
      <c r="G184" s="194">
        <f>D184-F184</f>
        <v>5088.9396400000005</v>
      </c>
      <c r="H184" s="194">
        <f>H175+H176+H177+H178+H182+H183</f>
        <v>7167.1404000000002</v>
      </c>
      <c r="I184" s="163"/>
      <c r="J184" s="160"/>
    </row>
    <row r="185" spans="1:10" ht="42" customHeight="1" x14ac:dyDescent="0.25">
      <c r="A185" s="1"/>
      <c r="B185" s="198"/>
      <c r="C185" s="226" t="s">
        <v>143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4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4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2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3"/>
      <c r="C197" s="101" t="s">
        <v>123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3"/>
      <c r="C198" s="101" t="s">
        <v>124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3"/>
      <c r="C199" s="101" t="s">
        <v>127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2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3"/>
      <c r="C203" s="68" t="s">
        <v>16</v>
      </c>
      <c r="D203" s="79" t="s">
        <v>2</v>
      </c>
      <c r="E203" s="68" t="s">
        <v>147</v>
      </c>
      <c r="F203" s="68" t="s">
        <v>148</v>
      </c>
      <c r="G203" s="68" t="s">
        <v>149</v>
      </c>
      <c r="H203" s="68" t="s">
        <v>150</v>
      </c>
      <c r="I203" s="1"/>
      <c r="J203" s="120"/>
    </row>
    <row r="204" spans="1:10" ht="15" customHeight="1" x14ac:dyDescent="0.25">
      <c r="A204" s="1"/>
      <c r="B204" s="253"/>
      <c r="C204" s="90" t="s">
        <v>4</v>
      </c>
      <c r="D204" s="124">
        <v>46282</v>
      </c>
      <c r="E204" s="124">
        <f>1.31138</f>
        <v>1.31138</v>
      </c>
      <c r="F204" s="124">
        <f>34246.53738</f>
        <v>34246.537380000002</v>
      </c>
      <c r="G204" s="124">
        <f>D204-F204</f>
        <v>12035.462619999998</v>
      </c>
      <c r="H204" s="124">
        <f>37352.02135</f>
        <v>37352.021350000003</v>
      </c>
      <c r="I204" s="247"/>
      <c r="J204" s="120"/>
    </row>
    <row r="205" spans="1:10" ht="15" customHeight="1" x14ac:dyDescent="0.25">
      <c r="A205" s="1"/>
      <c r="B205" s="253"/>
      <c r="C205" s="90" t="s">
        <v>67</v>
      </c>
      <c r="D205" s="124">
        <v>100</v>
      </c>
      <c r="E205" s="124">
        <f>0.313</f>
        <v>0.313</v>
      </c>
      <c r="F205" s="124">
        <f>25.33158</f>
        <v>25.331579999999999</v>
      </c>
      <c r="G205" s="124">
        <f>D205-F205</f>
        <v>74.668419999999998</v>
      </c>
      <c r="H205" s="124">
        <f>17.84175</f>
        <v>17.841750000000001</v>
      </c>
      <c r="I205" s="247"/>
      <c r="J205" s="120"/>
    </row>
    <row r="206" spans="1:10" ht="15.75" customHeight="1" x14ac:dyDescent="0.2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25">
      <c r="A207" s="1"/>
      <c r="B207" s="253"/>
      <c r="C207" s="179" t="s">
        <v>87</v>
      </c>
      <c r="D207" s="190">
        <f>SUM(D204:D206)</f>
        <v>46418</v>
      </c>
      <c r="E207" s="190">
        <f>SUM(E204:E206)</f>
        <v>1.6243799999999999</v>
      </c>
      <c r="F207" s="190">
        <f>SUM(F204:F206)</f>
        <v>34271.86896</v>
      </c>
      <c r="G207" s="190">
        <f>D207-F207</f>
        <v>12146.13104</v>
      </c>
      <c r="H207" s="190">
        <f>SUM(H204:H206)</f>
        <v>37369.863100000002</v>
      </c>
      <c r="I207" s="247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5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35">
      <c r="A243" s="150"/>
      <c r="B243" s="1"/>
      <c r="C243" s="214" t="s">
        <v>118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4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2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3"/>
      <c r="C248" s="68" t="s">
        <v>16</v>
      </c>
      <c r="D248" s="79" t="s">
        <v>2</v>
      </c>
      <c r="E248" s="68" t="s">
        <v>147</v>
      </c>
      <c r="F248" s="68" t="s">
        <v>148</v>
      </c>
      <c r="G248" s="68" t="s">
        <v>149</v>
      </c>
      <c r="H248" s="68" t="s">
        <v>150</v>
      </c>
      <c r="I248" s="1"/>
      <c r="J248" s="120"/>
    </row>
    <row r="249" spans="1:10" ht="15" customHeight="1" x14ac:dyDescent="0.25">
      <c r="A249" s="1"/>
      <c r="B249" s="253"/>
      <c r="C249" s="90" t="s">
        <v>125</v>
      </c>
      <c r="D249" s="124">
        <v>3987</v>
      </c>
      <c r="E249" s="75">
        <f>E250+E251</f>
        <v>13.340359999999999</v>
      </c>
      <c r="F249" s="75">
        <f>F250+F251</f>
        <v>3042.9211</v>
      </c>
      <c r="G249" s="75">
        <f>D249-F249</f>
        <v>944.07889999999998</v>
      </c>
      <c r="H249" s="75">
        <f>H250+H251</f>
        <v>2395.7780499999999</v>
      </c>
      <c r="I249" s="247"/>
      <c r="J249" s="120"/>
    </row>
    <row r="250" spans="1:10" ht="15" customHeight="1" x14ac:dyDescent="0.25">
      <c r="A250" s="1"/>
      <c r="B250" s="253"/>
      <c r="C250" s="177" t="s">
        <v>8</v>
      </c>
      <c r="D250" s="124"/>
      <c r="E250" s="75">
        <f>12.56346</f>
        <v>12.563459999999999</v>
      </c>
      <c r="F250" s="75">
        <f>2559.43141</f>
        <v>2559.4314100000001</v>
      </c>
      <c r="G250" s="75"/>
      <c r="H250" s="75">
        <f>1912.707</f>
        <v>1912.7070000000001</v>
      </c>
      <c r="I250" s="247"/>
      <c r="J250" s="120"/>
    </row>
    <row r="251" spans="1:10" ht="15" customHeight="1" x14ac:dyDescent="0.25">
      <c r="A251" s="1"/>
      <c r="B251" s="253"/>
      <c r="C251" s="177" t="s">
        <v>67</v>
      </c>
      <c r="D251" s="124"/>
      <c r="E251" s="124">
        <f>0.7769</f>
        <v>0.77690000000000003</v>
      </c>
      <c r="F251" s="124">
        <f>483.48969</f>
        <v>483.48969</v>
      </c>
      <c r="G251" s="168"/>
      <c r="H251" s="124">
        <f>483.07105</f>
        <v>483.07105000000001</v>
      </c>
      <c r="I251" s="247"/>
      <c r="J251" s="120"/>
    </row>
    <row r="252" spans="1:10" ht="15" customHeight="1" x14ac:dyDescent="0.25">
      <c r="A252" s="1"/>
      <c r="B252" s="253"/>
      <c r="C252" s="90" t="s">
        <v>126</v>
      </c>
      <c r="D252" s="124">
        <v>4613</v>
      </c>
      <c r="E252" s="75">
        <f>42.1437</f>
        <v>42.143700000000003</v>
      </c>
      <c r="F252" s="75">
        <f>4699.26681</f>
        <v>4699.2668100000001</v>
      </c>
      <c r="G252" s="75">
        <f>D252-F252</f>
        <v>-86.266810000000078</v>
      </c>
      <c r="H252" s="75">
        <f>4336.08735</f>
        <v>4336.0873499999998</v>
      </c>
      <c r="I252" s="247"/>
      <c r="J252" s="120"/>
    </row>
    <row r="253" spans="1:10" ht="16.5" customHeight="1" x14ac:dyDescent="0.25">
      <c r="A253" s="1"/>
      <c r="B253" s="253"/>
      <c r="C253" s="179" t="s">
        <v>87</v>
      </c>
      <c r="D253" s="190">
        <f>D252+D249</f>
        <v>8600</v>
      </c>
      <c r="E253" s="190">
        <f>SUM(E249,E252)</f>
        <v>55.484059999999999</v>
      </c>
      <c r="F253" s="190">
        <f>SUM(F249,F252)</f>
        <v>7742.1879100000006</v>
      </c>
      <c r="G253" s="190">
        <f>D253-F253</f>
        <v>857.81208999999944</v>
      </c>
      <c r="H253" s="190">
        <f>SUM(H249,H252)</f>
        <v>6731.8653999999997</v>
      </c>
      <c r="I253" s="247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5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35">
      <c r="A289" s="150"/>
      <c r="B289" s="1"/>
      <c r="C289" s="214" t="s">
        <v>119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4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2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3"/>
      <c r="C294" s="68" t="s">
        <v>16</v>
      </c>
      <c r="D294" s="79" t="s">
        <v>2</v>
      </c>
      <c r="E294" s="68" t="s">
        <v>147</v>
      </c>
      <c r="F294" s="68" t="s">
        <v>148</v>
      </c>
      <c r="G294" s="68" t="s">
        <v>149</v>
      </c>
      <c r="H294" s="68" t="s">
        <v>150</v>
      </c>
      <c r="I294" s="1"/>
      <c r="J294" s="120"/>
    </row>
    <row r="295" spans="1:10" ht="15" customHeight="1" x14ac:dyDescent="0.25">
      <c r="A295" s="1"/>
      <c r="B295" s="253"/>
      <c r="C295" s="90" t="s">
        <v>125</v>
      </c>
      <c r="D295" s="124">
        <v>5090</v>
      </c>
      <c r="E295" s="75">
        <f>E296+E297</f>
        <v>2.2876599999999998</v>
      </c>
      <c r="F295" s="75">
        <f>F296+F297</f>
        <v>3377.39743</v>
      </c>
      <c r="G295" s="75">
        <f>D295-F295</f>
        <v>1712.60257</v>
      </c>
      <c r="H295" s="75">
        <f>H296+H297</f>
        <v>2870.9326599999999</v>
      </c>
      <c r="I295" s="247"/>
      <c r="J295" s="120"/>
    </row>
    <row r="296" spans="1:10" ht="15" customHeight="1" x14ac:dyDescent="0.25">
      <c r="A296" s="1"/>
      <c r="B296" s="253"/>
      <c r="C296" s="177" t="s">
        <v>8</v>
      </c>
      <c r="D296" s="124"/>
      <c r="E296" s="75">
        <f>0.43236</f>
        <v>0.43236000000000002</v>
      </c>
      <c r="F296" s="75">
        <f>2960.79242</f>
        <v>2960.7924200000002</v>
      </c>
      <c r="G296" s="75"/>
      <c r="H296" s="75">
        <f>2470.73063</f>
        <v>2470.73063</v>
      </c>
      <c r="I296" s="247"/>
      <c r="J296" s="120"/>
    </row>
    <row r="297" spans="1:10" ht="15" customHeight="1" x14ac:dyDescent="0.25">
      <c r="A297" s="1"/>
      <c r="B297" s="253"/>
      <c r="C297" s="177" t="s">
        <v>67</v>
      </c>
      <c r="D297" s="124"/>
      <c r="E297" s="124">
        <f>1.8553</f>
        <v>1.8552999999999999</v>
      </c>
      <c r="F297" s="124">
        <f>416.60501</f>
        <v>416.60500999999999</v>
      </c>
      <c r="G297" s="168"/>
      <c r="H297" s="124">
        <f>400.20203</f>
        <v>400.20202999999998</v>
      </c>
      <c r="I297" s="247"/>
      <c r="J297" s="120"/>
    </row>
    <row r="298" spans="1:10" ht="15" customHeight="1" x14ac:dyDescent="0.25">
      <c r="A298" s="1"/>
      <c r="B298" s="253"/>
      <c r="C298" s="90" t="s">
        <v>126</v>
      </c>
      <c r="D298" s="124">
        <v>2981</v>
      </c>
      <c r="E298" s="75">
        <f>34.456</f>
        <v>34.456000000000003</v>
      </c>
      <c r="F298" s="75">
        <f>2027.69839</f>
        <v>2027.69839</v>
      </c>
      <c r="G298" s="75">
        <f>D298-F298</f>
        <v>953.30160999999998</v>
      </c>
      <c r="H298" s="75">
        <f>2302.6993</f>
        <v>2302.6993000000002</v>
      </c>
      <c r="I298" s="247"/>
      <c r="J298" s="120"/>
    </row>
    <row r="299" spans="1:10" ht="16.5" customHeight="1" x14ac:dyDescent="0.25">
      <c r="A299" s="1"/>
      <c r="B299" s="253"/>
      <c r="C299" s="179" t="s">
        <v>87</v>
      </c>
      <c r="D299" s="190">
        <f>D298+D295</f>
        <v>8071</v>
      </c>
      <c r="E299" s="190">
        <f>SUM(E295,E298)</f>
        <v>36.743660000000006</v>
      </c>
      <c r="F299" s="190">
        <f>SUM(F295,F298)</f>
        <v>5405.0958200000005</v>
      </c>
      <c r="G299" s="190">
        <f>D299-F299</f>
        <v>2665.9041799999995</v>
      </c>
      <c r="H299" s="190">
        <f>SUM(H295,H298)</f>
        <v>5173.6319600000006</v>
      </c>
      <c r="I299" s="247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5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2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2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" customHeight="1" x14ac:dyDescent="0.2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" customHeight="1" x14ac:dyDescent="0.2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25">
      <c r="A342" s="1"/>
      <c r="B342" s="253"/>
      <c r="C342" s="247" t="s">
        <v>128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2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" customHeight="1" x14ac:dyDescent="0.2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25">
      <c r="A349" s="1"/>
      <c r="B349" s="253"/>
      <c r="C349" s="68" t="s">
        <v>16</v>
      </c>
      <c r="D349" s="242" t="s">
        <v>2</v>
      </c>
      <c r="E349" s="68" t="s">
        <v>147</v>
      </c>
      <c r="F349" s="68" t="s">
        <v>148</v>
      </c>
      <c r="G349" s="68" t="s">
        <v>149</v>
      </c>
      <c r="H349" s="68" t="s">
        <v>150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2.603</f>
        <v>2.6030000000000002</v>
      </c>
      <c r="F350" s="124">
        <f>349.3992</f>
        <v>349.39920000000001</v>
      </c>
      <c r="G350" s="124">
        <f>D350-F350</f>
        <v>450.60079999999999</v>
      </c>
      <c r="H350" s="124">
        <f>288.15854</f>
        <v>288.15854000000002</v>
      </c>
      <c r="I350" s="67"/>
      <c r="J350" s="243"/>
    </row>
    <row r="351" spans="1:10" ht="14.1" customHeight="1" x14ac:dyDescent="0.25">
      <c r="A351" s="1"/>
      <c r="B351" s="253"/>
      <c r="C351" s="90" t="s">
        <v>94</v>
      </c>
      <c r="D351" s="245">
        <v>3041</v>
      </c>
      <c r="E351" s="124">
        <f>57.07553</f>
        <v>57.075530000000001</v>
      </c>
      <c r="F351" s="124">
        <f>943.51415</f>
        <v>943.51414999999997</v>
      </c>
      <c r="G351" s="124">
        <f>D351-F351</f>
        <v>2097.48585</v>
      </c>
      <c r="H351" s="124">
        <f>1141.51392</f>
        <v>1141.5139200000001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5">
        <v>10</v>
      </c>
      <c r="E352" s="168">
        <f>0</f>
        <v>0</v>
      </c>
      <c r="F352" s="168">
        <f>3.60962</f>
        <v>3.6096200000000001</v>
      </c>
      <c r="G352" s="124">
        <f>D352-F352</f>
        <v>6.3903800000000004</v>
      </c>
      <c r="H352" s="168">
        <f>0.63874</f>
        <v>0.63873999999999997</v>
      </c>
      <c r="I352" s="67"/>
      <c r="J352" s="248"/>
    </row>
    <row r="353" spans="1:10" ht="18.75" customHeight="1" x14ac:dyDescent="0.25">
      <c r="A353" s="67"/>
      <c r="B353" s="249"/>
      <c r="C353" s="146" t="s">
        <v>95</v>
      </c>
      <c r="D353" s="221"/>
      <c r="E353" s="168">
        <f>0</f>
        <v>0</v>
      </c>
      <c r="F353" s="168">
        <f>0.091</f>
        <v>9.0999999999999998E-2</v>
      </c>
      <c r="G353" s="124">
        <f>D353-F353</f>
        <v>-9.0999999999999998E-2</v>
      </c>
      <c r="H353" s="168">
        <f>1.68235</f>
        <v>1.68235</v>
      </c>
      <c r="I353" s="283"/>
      <c r="J353" s="120"/>
    </row>
    <row r="354" spans="1:10" ht="14.1" customHeight="1" x14ac:dyDescent="0.25">
      <c r="A354" s="1"/>
      <c r="B354" s="253"/>
      <c r="C354" s="179" t="s">
        <v>87</v>
      </c>
      <c r="D354" s="6">
        <f>D339</f>
        <v>3851</v>
      </c>
      <c r="E354" s="190">
        <f>SUM(E350:E353)</f>
        <v>59.678530000000002</v>
      </c>
      <c r="F354" s="190">
        <f>SUM(F350:F353)</f>
        <v>1296.6139699999999</v>
      </c>
      <c r="G354" s="190">
        <f>D354-F354</f>
        <v>2554.3860300000001</v>
      </c>
      <c r="H354" s="190">
        <f>H350+H351+H352+H353</f>
        <v>1431.9935500000004</v>
      </c>
      <c r="I354" s="1"/>
      <c r="J354" s="120"/>
    </row>
    <row r="355" spans="1:10" ht="14.1" customHeight="1" x14ac:dyDescent="0.2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7"/>
      <c r="B364" s="1"/>
      <c r="C364" s="214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139</v>
      </c>
      <c r="D373" s="178"/>
      <c r="E373" s="178"/>
      <c r="F373" s="178"/>
      <c r="G373" s="1"/>
      <c r="H373" s="178"/>
      <c r="I373" s="178"/>
      <c r="J373" s="243"/>
    </row>
    <row r="374" spans="1:10" ht="13.35" customHeight="1" x14ac:dyDescent="0.25">
      <c r="B374" s="72"/>
      <c r="C374" s="212" t="s">
        <v>140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2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25">
      <c r="B379" s="72"/>
      <c r="C379" s="222" t="s">
        <v>16</v>
      </c>
      <c r="D379" s="231" t="s">
        <v>17</v>
      </c>
      <c r="E379" s="68" t="s">
        <v>103</v>
      </c>
      <c r="F379" s="222" t="s">
        <v>147</v>
      </c>
      <c r="G379" s="222" t="s">
        <v>148</v>
      </c>
      <c r="H379" s="222" t="s">
        <v>149</v>
      </c>
      <c r="I379" s="222" t="s">
        <v>150</v>
      </c>
      <c r="J379" s="130"/>
    </row>
    <row r="380" spans="1:10" ht="14.1" customHeight="1" x14ac:dyDescent="0.2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148.55000000000001</v>
      </c>
      <c r="G380" s="252">
        <f t="shared" si="17"/>
        <v>7313.7155899999998</v>
      </c>
      <c r="H380" s="252">
        <f>H384+H383+H382+H381</f>
        <v>15655.28441</v>
      </c>
      <c r="I380" s="252">
        <f t="shared" si="17"/>
        <v>5636.2962800000005</v>
      </c>
      <c r="J380" s="130"/>
    </row>
    <row r="381" spans="1:10" ht="14.1" customHeight="1" x14ac:dyDescent="0.25">
      <c r="A381" s="217"/>
      <c r="B381" s="72"/>
      <c r="C381" s="254" t="s">
        <v>104</v>
      </c>
      <c r="D381" s="255">
        <v>12051</v>
      </c>
      <c r="E381" s="255">
        <v>13190</v>
      </c>
      <c r="F381" s="256">
        <f>0</f>
        <v>0</v>
      </c>
      <c r="G381" s="256">
        <f>4157.25401</f>
        <v>4157.2540099999997</v>
      </c>
      <c r="H381" s="256">
        <f t="shared" ref="H381:H385" si="18">E381-G381</f>
        <v>9032.7459899999994</v>
      </c>
      <c r="I381" s="256">
        <f>2046.30392</f>
        <v>2046.3039200000001</v>
      </c>
      <c r="J381" s="130"/>
    </row>
    <row r="382" spans="1:10" ht="14.1" customHeight="1" x14ac:dyDescent="0.25">
      <c r="A382" s="217"/>
      <c r="B382" s="72"/>
      <c r="C382" s="259" t="s">
        <v>21</v>
      </c>
      <c r="D382" s="255">
        <v>3136</v>
      </c>
      <c r="E382" s="255">
        <v>3433</v>
      </c>
      <c r="F382" s="256">
        <f>0</f>
        <v>0</v>
      </c>
      <c r="G382" s="256">
        <f>912.4407</f>
        <v>912.44069999999999</v>
      </c>
      <c r="H382" s="256">
        <f t="shared" si="18"/>
        <v>2520.5592999999999</v>
      </c>
      <c r="I382" s="256">
        <f>806.0337</f>
        <v>806.03369999999995</v>
      </c>
      <c r="J382" s="130"/>
    </row>
    <row r="383" spans="1:10" ht="14.1" customHeight="1" x14ac:dyDescent="0.25">
      <c r="A383" s="217"/>
      <c r="B383" s="72"/>
      <c r="C383" s="259" t="s">
        <v>100</v>
      </c>
      <c r="D383" s="255">
        <v>1454</v>
      </c>
      <c r="E383" s="255">
        <v>1483</v>
      </c>
      <c r="F383" s="256">
        <f>3.753</f>
        <v>3.7530000000000001</v>
      </c>
      <c r="G383" s="256">
        <f>1235.26562</f>
        <v>1235.2656199999999</v>
      </c>
      <c r="H383" s="256">
        <f t="shared" si="18"/>
        <v>247.7343800000001</v>
      </c>
      <c r="I383" s="256">
        <f>1362.45896</f>
        <v>1362.4589599999999</v>
      </c>
      <c r="J383" s="130"/>
    </row>
    <row r="384" spans="1:10" ht="14.1" customHeight="1" x14ac:dyDescent="0.25">
      <c r="A384" s="217"/>
      <c r="B384" s="72"/>
      <c r="C384" s="261" t="s">
        <v>105</v>
      </c>
      <c r="D384" s="262">
        <v>4867</v>
      </c>
      <c r="E384" s="262">
        <v>4863</v>
      </c>
      <c r="F384" s="256">
        <f>144.797</f>
        <v>144.797</v>
      </c>
      <c r="G384" s="256">
        <f>1008.75526</f>
        <v>1008.75526</v>
      </c>
      <c r="H384" s="256">
        <f t="shared" si="18"/>
        <v>3854.2447400000001</v>
      </c>
      <c r="I384" s="256">
        <f>1421.4997</f>
        <v>1421.4997000000001</v>
      </c>
      <c r="J384" s="130"/>
    </row>
    <row r="385" spans="1:10" ht="14.1" customHeight="1" x14ac:dyDescent="0.25">
      <c r="A385" s="217"/>
      <c r="B385" s="72"/>
      <c r="C385" s="264" t="s">
        <v>59</v>
      </c>
      <c r="D385" s="265">
        <v>5500</v>
      </c>
      <c r="E385" s="265">
        <v>5500</v>
      </c>
      <c r="F385" s="267">
        <f>0.04</f>
        <v>0.04</v>
      </c>
      <c r="G385" s="267">
        <f>2132.18278</f>
        <v>2132.1827800000001</v>
      </c>
      <c r="H385" s="267">
        <f t="shared" si="18"/>
        <v>3367.8172199999999</v>
      </c>
      <c r="I385" s="267">
        <f>5096.83428</f>
        <v>5096.83428</v>
      </c>
      <c r="J385" s="130"/>
    </row>
    <row r="386" spans="1:10" ht="14.1" customHeight="1" x14ac:dyDescent="0.2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48.101399999999998</v>
      </c>
      <c r="G386" s="268">
        <f>G388+G387</f>
        <v>1694.7537899999998</v>
      </c>
      <c r="H386" s="268">
        <f>E386-G386</f>
        <v>6305.2462100000002</v>
      </c>
      <c r="I386" s="268">
        <f>I388+I387</f>
        <v>2237.6387199999999</v>
      </c>
      <c r="J386" s="130"/>
    </row>
    <row r="387" spans="1:10" ht="14.1" customHeight="1" x14ac:dyDescent="0.25">
      <c r="A387" s="217"/>
      <c r="B387" s="72"/>
      <c r="C387" s="259" t="s">
        <v>53</v>
      </c>
      <c r="D387" s="270"/>
      <c r="E387" s="255"/>
      <c r="F387" s="256">
        <f>11.4507</f>
        <v>11.450699999999999</v>
      </c>
      <c r="G387" s="256">
        <f>543.28897</f>
        <v>543.28896999999995</v>
      </c>
      <c r="H387" s="256"/>
      <c r="I387" s="256">
        <f>776.64504</f>
        <v>776.64503999999999</v>
      </c>
      <c r="J387" s="130"/>
    </row>
    <row r="388" spans="1:10" ht="14.1" customHeight="1" x14ac:dyDescent="0.25">
      <c r="A388" s="217"/>
      <c r="B388" s="72"/>
      <c r="C388" s="272" t="s">
        <v>106</v>
      </c>
      <c r="D388" s="273"/>
      <c r="E388" s="276"/>
      <c r="F388" s="277">
        <f>36.6507</f>
        <v>36.650700000000001</v>
      </c>
      <c r="G388" s="277">
        <f>1151.46482</f>
        <v>1151.4648199999999</v>
      </c>
      <c r="H388" s="277"/>
      <c r="I388" s="277">
        <f>1460.99368</f>
        <v>1460.99368</v>
      </c>
      <c r="J388" s="130"/>
    </row>
    <row r="389" spans="1:10" ht="14.1" customHeight="1" x14ac:dyDescent="0.2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0.1164</f>
        <v>0.1164</v>
      </c>
      <c r="H389" s="267">
        <f>E389-G389</f>
        <v>12.883599999999999</v>
      </c>
      <c r="I389" s="267">
        <f>0.0735</f>
        <v>7.3499999999999996E-2</v>
      </c>
      <c r="J389" s="130"/>
    </row>
    <row r="390" spans="1:10" ht="14.1" customHeight="1" x14ac:dyDescent="0.25">
      <c r="A390" s="217"/>
      <c r="B390" s="72"/>
      <c r="C390" s="278" t="s">
        <v>107</v>
      </c>
      <c r="D390" s="281"/>
      <c r="E390" s="282"/>
      <c r="F390" s="267">
        <f>13.672</f>
        <v>13.672000000000001</v>
      </c>
      <c r="G390" s="267">
        <f>52.25616</f>
        <v>52.256160000000001</v>
      </c>
      <c r="H390" s="267">
        <f>E390-G390</f>
        <v>-52.256160000000001</v>
      </c>
      <c r="I390" s="267">
        <f>46.51015</f>
        <v>46.510150000000003</v>
      </c>
      <c r="J390" s="130"/>
    </row>
    <row r="391" spans="1:10" ht="19.5" customHeight="1" x14ac:dyDescent="0.2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210.36339999999998</v>
      </c>
      <c r="G391" s="286">
        <f t="shared" si="19"/>
        <v>11193.024719999999</v>
      </c>
      <c r="H391" s="286">
        <f>H380+H385+H386+H389+H390</f>
        <v>25288.975280000002</v>
      </c>
      <c r="I391" s="286">
        <f t="shared" si="19"/>
        <v>13017.352930000001</v>
      </c>
      <c r="J391" s="130"/>
    </row>
    <row r="392" spans="1:10" ht="14.1" customHeight="1" x14ac:dyDescent="0.2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" customHeight="1" x14ac:dyDescent="0.25">
      <c r="A393" s="217"/>
      <c r="B393" s="72"/>
      <c r="C393" s="101" t="s">
        <v>138</v>
      </c>
      <c r="D393" s="288"/>
      <c r="E393" s="288"/>
      <c r="F393" s="4"/>
      <c r="G393" s="4"/>
      <c r="H393" s="7"/>
      <c r="I393" s="5"/>
      <c r="J393" s="130"/>
    </row>
    <row r="394" spans="1:10" ht="14.1" customHeight="1" x14ac:dyDescent="0.25">
      <c r="A394" s="217"/>
      <c r="B394" s="72"/>
      <c r="C394" s="101" t="s">
        <v>137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2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7"/>
      <c r="C398" s="150" t="s">
        <v>116</v>
      </c>
      <c r="D398" s="156"/>
    </row>
    <row r="399" spans="1:10" ht="14.1" customHeight="1" x14ac:dyDescent="0.2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" customHeight="1" x14ac:dyDescent="0.2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7"/>
      <c r="B407" s="72"/>
      <c r="C407" s="291" t="s">
        <v>120</v>
      </c>
      <c r="D407" s="291"/>
      <c r="E407" s="291"/>
      <c r="F407" s="291"/>
      <c r="G407" s="291"/>
      <c r="H407" s="291"/>
      <c r="I407" s="150"/>
      <c r="J407" s="130"/>
    </row>
    <row r="408" spans="1:10" ht="14.1" customHeight="1" x14ac:dyDescent="0.25">
      <c r="A408" s="217"/>
      <c r="B408" s="72"/>
      <c r="C408" s="291"/>
      <c r="D408" s="291"/>
      <c r="E408" s="291"/>
      <c r="F408" s="291"/>
      <c r="G408" s="291"/>
      <c r="H408" s="291"/>
      <c r="I408" s="150"/>
      <c r="J408" s="130"/>
    </row>
    <row r="409" spans="1:10" ht="14.1" customHeight="1" x14ac:dyDescent="0.2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25">
      <c r="A412" s="217"/>
      <c r="B412" s="198"/>
      <c r="C412" s="20" t="s">
        <v>111</v>
      </c>
      <c r="D412" s="22" t="s">
        <v>112</v>
      </c>
      <c r="E412" s="20" t="s">
        <v>147</v>
      </c>
      <c r="F412" s="20" t="s">
        <v>148</v>
      </c>
      <c r="G412" s="25" t="s">
        <v>149</v>
      </c>
      <c r="H412" s="20" t="s">
        <v>150</v>
      </c>
      <c r="I412" s="223"/>
      <c r="J412" s="13"/>
    </row>
    <row r="413" spans="1:10" ht="14.1" customHeight="1" x14ac:dyDescent="0.25">
      <c r="A413" s="217"/>
      <c r="B413" s="72"/>
      <c r="C413" s="264" t="s">
        <v>113</v>
      </c>
      <c r="D413" s="204">
        <v>1235</v>
      </c>
      <c r="E413" s="26">
        <f>SUM(E414:E415)</f>
        <v>62.953999999999994</v>
      </c>
      <c r="F413" s="26">
        <f>SUM(F414:F415)</f>
        <v>62.953999999999994</v>
      </c>
      <c r="G413" s="85">
        <f>D413-F413</f>
        <v>1172.046</v>
      </c>
      <c r="H413" s="26">
        <f>SUM(H414:H415)</f>
        <v>59.165700000000001</v>
      </c>
      <c r="I413" s="27"/>
      <c r="J413" s="130"/>
    </row>
    <row r="414" spans="1:10" ht="14.1" customHeight="1" x14ac:dyDescent="0.25">
      <c r="A414" s="217"/>
      <c r="B414" s="72"/>
      <c r="C414" s="29" t="s">
        <v>8</v>
      </c>
      <c r="E414" s="205">
        <f>50.126</f>
        <v>50.125999999999998</v>
      </c>
      <c r="F414" s="205">
        <f>50.126</f>
        <v>50.125999999999998</v>
      </c>
      <c r="G414" s="206"/>
      <c r="H414" s="205">
        <f>47.2485</f>
        <v>47.2485</v>
      </c>
      <c r="I414" s="150"/>
      <c r="J414" s="130"/>
    </row>
    <row r="415" spans="1:10" ht="14.1" customHeight="1" x14ac:dyDescent="0.25">
      <c r="A415" s="217"/>
      <c r="B415" s="72"/>
      <c r="C415" s="29" t="s">
        <v>11</v>
      </c>
      <c r="D415" s="207"/>
      <c r="E415" s="208">
        <f>12.828</f>
        <v>12.827999999999999</v>
      </c>
      <c r="F415" s="208">
        <f>12.828</f>
        <v>12.827999999999999</v>
      </c>
      <c r="G415" s="209"/>
      <c r="H415" s="208">
        <f>11.9172</f>
        <v>11.917199999999999</v>
      </c>
      <c r="I415" s="150"/>
      <c r="J415" s="130"/>
    </row>
    <row r="416" spans="1:10" ht="14.1" customHeight="1" x14ac:dyDescent="0.25">
      <c r="A416" s="217"/>
      <c r="B416" s="72"/>
      <c r="C416" s="264" t="s">
        <v>114</v>
      </c>
      <c r="D416" s="10">
        <v>1060</v>
      </c>
      <c r="E416" s="26">
        <f>SUM(E417:E418)</f>
        <v>0</v>
      </c>
      <c r="F416" s="26">
        <f>SUM(F417:F418)</f>
        <v>0</v>
      </c>
      <c r="G416" s="85">
        <f>D416-F416</f>
        <v>1060</v>
      </c>
      <c r="H416" s="26">
        <f>SUM(H417:H418)</f>
        <v>0</v>
      </c>
      <c r="I416" s="27"/>
      <c r="J416" s="130"/>
    </row>
    <row r="417" spans="1:10" ht="14.1" customHeight="1" x14ac:dyDescent="0.25">
      <c r="A417" s="217"/>
      <c r="B417" s="72"/>
      <c r="C417" s="29" t="s">
        <v>8</v>
      </c>
      <c r="D417" s="42"/>
      <c r="E417" s="30">
        <f>0</f>
        <v>0</v>
      </c>
      <c r="F417" s="30">
        <f>0</f>
        <v>0</v>
      </c>
      <c r="G417" s="97"/>
      <c r="H417" s="30">
        <f>0</f>
        <v>0</v>
      </c>
      <c r="I417" s="150"/>
      <c r="J417" s="130"/>
    </row>
    <row r="418" spans="1:10" ht="14.1" customHeight="1" x14ac:dyDescent="0.25">
      <c r="A418" s="217"/>
      <c r="B418" s="72"/>
      <c r="C418" s="29" t="s">
        <v>11</v>
      </c>
      <c r="D418" s="220"/>
      <c r="E418" s="30">
        <f>0</f>
        <v>0</v>
      </c>
      <c r="F418" s="30">
        <f>0</f>
        <v>0</v>
      </c>
      <c r="G418" s="108"/>
      <c r="H418" s="30">
        <f>0</f>
        <v>0</v>
      </c>
      <c r="I418" s="150"/>
      <c r="J418" s="130"/>
    </row>
    <row r="419" spans="1:10" ht="14.1" customHeight="1" x14ac:dyDescent="0.25">
      <c r="A419" s="217"/>
      <c r="B419" s="72"/>
      <c r="C419" s="264" t="s">
        <v>115</v>
      </c>
      <c r="D419" s="10">
        <v>1235</v>
      </c>
      <c r="E419" s="36">
        <f>SUM(E420:E421)</f>
        <v>0</v>
      </c>
      <c r="F419" s="36">
        <f>SUM(F420:F421)</f>
        <v>0</v>
      </c>
      <c r="G419" s="85">
        <f>D419-F419</f>
        <v>1235</v>
      </c>
      <c r="H419" s="36">
        <f>SUM(H420:H421)</f>
        <v>0</v>
      </c>
      <c r="I419" s="150"/>
      <c r="J419" s="130"/>
    </row>
    <row r="420" spans="1:10" ht="14.1" customHeight="1" x14ac:dyDescent="0.25">
      <c r="A420" s="217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" customHeight="1" x14ac:dyDescent="0.25">
      <c r="A421" s="217"/>
      <c r="B421" s="72"/>
      <c r="C421" s="29" t="s">
        <v>11</v>
      </c>
      <c r="D421" s="220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" customHeight="1" x14ac:dyDescent="0.2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7"/>
      <c r="B423" s="72"/>
      <c r="C423" s="284" t="s">
        <v>87</v>
      </c>
      <c r="D423" s="39"/>
      <c r="E423" s="40">
        <f>E413+E416+E419+E422</f>
        <v>62.953999999999994</v>
      </c>
      <c r="F423" s="40">
        <f>F413+F416+F419+F422</f>
        <v>62.953999999999994</v>
      </c>
      <c r="G423" s="41"/>
      <c r="H423" s="40">
        <f>H413+H416+H419+H422</f>
        <v>59.165700000000001</v>
      </c>
      <c r="I423" s="27"/>
      <c r="J423" s="130"/>
    </row>
    <row r="424" spans="1:10" ht="42" customHeight="1" x14ac:dyDescent="0.25">
      <c r="A424" s="217"/>
      <c r="B424" s="72"/>
      <c r="C424" s="292" t="s">
        <v>121</v>
      </c>
      <c r="D424" s="292"/>
      <c r="E424" s="292"/>
      <c r="F424" s="292"/>
      <c r="G424" s="292"/>
      <c r="H424" s="292"/>
      <c r="I424" s="292"/>
      <c r="J424" s="293"/>
    </row>
    <row r="425" spans="1:10" ht="14.1" customHeight="1" x14ac:dyDescent="0.2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4">
    <mergeCell ref="C17:H17"/>
    <mergeCell ref="B2:J2"/>
    <mergeCell ref="B9:J9"/>
    <mergeCell ref="C11:D11"/>
    <mergeCell ref="E11:F11"/>
    <mergeCell ref="G11:H11"/>
    <mergeCell ref="C407:H408"/>
    <mergeCell ref="C424:J424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27&amp;R08.07.2024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Øystein Hermansen</cp:lastModifiedBy>
  <cp:lastPrinted>2022-11-14T12:51:47Z</cp:lastPrinted>
  <dcterms:created xsi:type="dcterms:W3CDTF">2022-08-01T13:23:35Z</dcterms:created>
  <dcterms:modified xsi:type="dcterms:W3CDTF">2024-07-08T06:41:03Z</dcterms:modified>
</cp:coreProperties>
</file>