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lakro\Publisering\"/>
    </mc:Choice>
  </mc:AlternateContent>
  <xr:revisionPtr revIDLastSave="0" documentId="8_{19B498EE-DB5E-4F09-9FCF-2091C3EF9AE5}" xr6:coauthVersionLast="47" xr6:coauthVersionMax="47" xr10:uidLastSave="{00000000-0000-0000-0000-000000000000}"/>
  <bookViews>
    <workbookView xWindow="36570" yWindow="4485" windowWidth="28800" windowHeight="15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F55" i="1"/>
  <c r="F32" i="1" s="1"/>
  <c r="F27" i="1" s="1"/>
  <c r="D423" i="1"/>
  <c r="H422" i="1"/>
  <c r="F422" i="1"/>
  <c r="G422" i="1" s="1"/>
  <c r="E422" i="1"/>
  <c r="H421" i="1"/>
  <c r="F421" i="1"/>
  <c r="E421" i="1"/>
  <c r="H420" i="1"/>
  <c r="F420" i="1"/>
  <c r="F419" i="1" s="1"/>
  <c r="G419" i="1" s="1"/>
  <c r="E420" i="1"/>
  <c r="H419" i="1"/>
  <c r="E419" i="1"/>
  <c r="H418" i="1"/>
  <c r="F418" i="1"/>
  <c r="E418" i="1"/>
  <c r="E416" i="1" s="1"/>
  <c r="H417" i="1"/>
  <c r="F417" i="1"/>
  <c r="F416" i="1" s="1"/>
  <c r="G416" i="1" s="1"/>
  <c r="E417" i="1"/>
  <c r="H416" i="1"/>
  <c r="H415" i="1"/>
  <c r="H413" i="1" s="1"/>
  <c r="H423" i="1" s="1"/>
  <c r="F415" i="1"/>
  <c r="E415" i="1"/>
  <c r="H414" i="1"/>
  <c r="F414" i="1"/>
  <c r="E414" i="1"/>
  <c r="E413" i="1" s="1"/>
  <c r="F413" i="1"/>
  <c r="I390" i="1"/>
  <c r="H390" i="1"/>
  <c r="G390" i="1"/>
  <c r="F390" i="1"/>
  <c r="I389" i="1"/>
  <c r="H389" i="1"/>
  <c r="G389" i="1"/>
  <c r="F389" i="1"/>
  <c r="I388" i="1"/>
  <c r="I386" i="1" s="1"/>
  <c r="G388" i="1"/>
  <c r="G386" i="1" s="1"/>
  <c r="H386" i="1" s="1"/>
  <c r="F388" i="1"/>
  <c r="I387" i="1"/>
  <c r="G387" i="1"/>
  <c r="F387" i="1"/>
  <c r="F386" i="1"/>
  <c r="I385" i="1"/>
  <c r="H385" i="1"/>
  <c r="G385" i="1"/>
  <c r="F385" i="1"/>
  <c r="I384" i="1"/>
  <c r="G384" i="1"/>
  <c r="H384" i="1" s="1"/>
  <c r="F384" i="1"/>
  <c r="F380" i="1" s="1"/>
  <c r="F391" i="1" s="1"/>
  <c r="I383" i="1"/>
  <c r="I380" i="1" s="1"/>
  <c r="I391" i="1" s="1"/>
  <c r="H383" i="1"/>
  <c r="G383" i="1"/>
  <c r="F383" i="1"/>
  <c r="I382" i="1"/>
  <c r="G382" i="1"/>
  <c r="H382" i="1" s="1"/>
  <c r="F382" i="1"/>
  <c r="I381" i="1"/>
  <c r="H381" i="1"/>
  <c r="G381" i="1"/>
  <c r="F381" i="1"/>
  <c r="G380" i="1"/>
  <c r="G391" i="1" s="1"/>
  <c r="D380" i="1"/>
  <c r="D391" i="1" s="1"/>
  <c r="H372" i="1"/>
  <c r="F372" i="1"/>
  <c r="H354" i="1"/>
  <c r="D354" i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F350" i="1"/>
  <c r="F354" i="1" s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 s="1"/>
  <c r="E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53" i="1" s="1"/>
  <c r="H207" i="1"/>
  <c r="F207" i="1"/>
  <c r="D207" i="1"/>
  <c r="G207" i="1" s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E184" i="1" s="1"/>
  <c r="H177" i="1"/>
  <c r="G177" i="1"/>
  <c r="F177" i="1"/>
  <c r="E177" i="1"/>
  <c r="H176" i="1"/>
  <c r="F176" i="1"/>
  <c r="E176" i="1"/>
  <c r="H175" i="1"/>
  <c r="F175" i="1"/>
  <c r="E175" i="1"/>
  <c r="D167" i="1"/>
  <c r="D169" i="1" s="1"/>
  <c r="I148" i="1"/>
  <c r="G148" i="1"/>
  <c r="H148" i="1" s="1"/>
  <c r="F148" i="1"/>
  <c r="I147" i="1"/>
  <c r="G147" i="1"/>
  <c r="H147" i="1" s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H139" i="1" s="1"/>
  <c r="G141" i="1"/>
  <c r="F141" i="1"/>
  <c r="I140" i="1"/>
  <c r="H140" i="1"/>
  <c r="G140" i="1"/>
  <c r="G139" i="1" s="1"/>
  <c r="F140" i="1"/>
  <c r="I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F134" i="1" s="1"/>
  <c r="F133" i="1" s="1"/>
  <c r="I135" i="1"/>
  <c r="H135" i="1"/>
  <c r="F135" i="1"/>
  <c r="I134" i="1"/>
  <c r="I133" i="1" s="1"/>
  <c r="G134" i="1"/>
  <c r="G133" i="1" s="1"/>
  <c r="E134" i="1"/>
  <c r="D134" i="1"/>
  <c r="D133" i="1" s="1"/>
  <c r="E133" i="1"/>
  <c r="I132" i="1"/>
  <c r="F132" i="1"/>
  <c r="I131" i="1"/>
  <c r="G131" i="1"/>
  <c r="H131" i="1" s="1"/>
  <c r="F131" i="1"/>
  <c r="I130" i="1"/>
  <c r="H130" i="1"/>
  <c r="G130" i="1"/>
  <c r="F130" i="1"/>
  <c r="I129" i="1"/>
  <c r="I128" i="1" s="1"/>
  <c r="I150" i="1" s="1"/>
  <c r="G129" i="1"/>
  <c r="G128" i="1" s="1"/>
  <c r="F129" i="1"/>
  <c r="F128" i="1" s="1"/>
  <c r="F150" i="1" s="1"/>
  <c r="E128" i="1"/>
  <c r="E150" i="1" s="1"/>
  <c r="D128" i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H97" i="1" s="1"/>
  <c r="F97" i="1"/>
  <c r="F96" i="1" s="1"/>
  <c r="F95" i="1" s="1"/>
  <c r="G96" i="1"/>
  <c r="G95" i="1" s="1"/>
  <c r="E96" i="1"/>
  <c r="E95" i="1" s="1"/>
  <c r="E107" i="1" s="1"/>
  <c r="D96" i="1"/>
  <c r="D95" i="1"/>
  <c r="I94" i="1"/>
  <c r="I92" i="1" s="1"/>
  <c r="I107" i="1" s="1"/>
  <c r="G94" i="1"/>
  <c r="H94" i="1" s="1"/>
  <c r="F94" i="1"/>
  <c r="I93" i="1"/>
  <c r="G93" i="1"/>
  <c r="G92" i="1" s="1"/>
  <c r="G107" i="1" s="1"/>
  <c r="F93" i="1"/>
  <c r="F92" i="1"/>
  <c r="E92" i="1"/>
  <c r="D92" i="1"/>
  <c r="D107" i="1" s="1"/>
  <c r="C89" i="1"/>
  <c r="H85" i="1"/>
  <c r="F85" i="1"/>
  <c r="D85" i="1"/>
  <c r="H61" i="1"/>
  <c r="H60" i="1"/>
  <c r="I55" i="1"/>
  <c r="I32" i="1" s="1"/>
  <c r="I27" i="1" s="1"/>
  <c r="G55" i="1"/>
  <c r="G32" i="1" s="1"/>
  <c r="H32" i="1" s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G35" i="1"/>
  <c r="F35" i="1"/>
  <c r="F34" i="1" s="1"/>
  <c r="E35" i="1"/>
  <c r="H35" i="1" s="1"/>
  <c r="D34" i="1"/>
  <c r="I33" i="1"/>
  <c r="H33" i="1"/>
  <c r="G33" i="1"/>
  <c r="F33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E27" i="1"/>
  <c r="D27" i="1"/>
  <c r="E26" i="1"/>
  <c r="D26" i="1"/>
  <c r="I25" i="1"/>
  <c r="H25" i="1"/>
  <c r="G25" i="1"/>
  <c r="F25" i="1"/>
  <c r="I24" i="1"/>
  <c r="I23" i="1" s="1"/>
  <c r="H24" i="1"/>
  <c r="H23" i="1" s="1"/>
  <c r="G24" i="1"/>
  <c r="F24" i="1"/>
  <c r="F23" i="1" s="1"/>
  <c r="G23" i="1"/>
  <c r="E23" i="1"/>
  <c r="E44" i="1" s="1"/>
  <c r="D23" i="1"/>
  <c r="D44" i="1" s="1"/>
  <c r="H16" i="1"/>
  <c r="F16" i="1"/>
  <c r="D16" i="1"/>
  <c r="G150" i="1" l="1"/>
  <c r="H134" i="1"/>
  <c r="H133" i="1" s="1"/>
  <c r="H27" i="1"/>
  <c r="I35" i="1"/>
  <c r="I34" i="1" s="1"/>
  <c r="I26" i="1" s="1"/>
  <c r="I44" i="1" s="1"/>
  <c r="G34" i="1"/>
  <c r="H34" i="1" s="1"/>
  <c r="H26" i="1" s="1"/>
  <c r="H44" i="1" s="1"/>
  <c r="F26" i="1"/>
  <c r="F44" i="1" s="1"/>
  <c r="F107" i="1"/>
  <c r="H380" i="1"/>
  <c r="H391" i="1" s="1"/>
  <c r="D150" i="1"/>
  <c r="F184" i="1"/>
  <c r="G184" i="1" s="1"/>
  <c r="H184" i="1"/>
  <c r="G249" i="1"/>
  <c r="F253" i="1"/>
  <c r="G253" i="1"/>
  <c r="G27" i="1"/>
  <c r="G26" i="1" s="1"/>
  <c r="G44" i="1" s="1"/>
  <c r="H96" i="1"/>
  <c r="H95" i="1" s="1"/>
  <c r="F299" i="1"/>
  <c r="G299" i="1" s="1"/>
  <c r="G295" i="1"/>
  <c r="F423" i="1"/>
  <c r="G354" i="1"/>
  <c r="E423" i="1"/>
  <c r="G423" i="1"/>
  <c r="H55" i="1"/>
  <c r="H93" i="1"/>
  <c r="H92" i="1" s="1"/>
  <c r="H107" i="1" s="1"/>
  <c r="G413" i="1"/>
  <c r="H129" i="1"/>
  <c r="H128" i="1" s="1"/>
  <c r="H150" i="1" s="1"/>
  <c r="G350" i="1"/>
  <c r="G175" i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<sst xmlns="http://schemas.openxmlformats.org/spreadsheetml/2006/main" count="359" uniqueCount="151">
  <si>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</si>
  <si>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</si>
  <si>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</si>
  <si>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</si>
  <si>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</si>
  <si>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</si>
  <si>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</si>
  <si>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</si>
  <si>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</si>
  <si>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</si>
  <si>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</si>
  <si>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</si>
  <si>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</si>
  <si>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</si>
  <si>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</si>
  <si>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</si>
  <si>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</si>
  <si>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</si>
  <si>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</si>
  <si>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</si>
  <si>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</si>
  <si>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</si>
  <si>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</si>
  <si>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</si>
  <si>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</si>
  <si>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</si>
  <si>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</si>
  <si>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</si>
  <si>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</si>
  <si>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</si>
  <si>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</si>
  <si>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</si>
  <si>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</si>
  <si>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</si>
  <si>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</si>
  <si>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</si>
  <si>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</si>
  <si>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</si>
  <si>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</si>
  <si>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</si>
  <si>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</si>
  <si>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</si>
  <si>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</si>
  <si>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</si>
  <si>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</si>
  <si>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</si>
  <si>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</si>
  <si>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</si>
  <si>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</si>
  <si>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</si>
  <si>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</si>
  <si>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</si>
  <si>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</si>
  <si>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</si>
  <si>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</si>
  <si>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</si>
  <si>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</si>
  <si>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</si>
  <si>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</si>
  <si>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</si>
  <si>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</si>
  <si>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</si>
  <si>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</si>
  <si>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</si>
  <si>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</si>
  <si>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</si>
  <si>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</si>
  <si>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</si>
  <si>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</si>
  <si>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</si>
  <si>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</si>
  <si>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</si>
  <si>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</si>
  <si>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</si>
  <si>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</si>
  <si>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</si>
  <si>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</si>
  <si>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</si>
  <si>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</si>
  <si>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</si>
  <si>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</si>
  <si>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</si>
  <si>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</si>
  <si>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</si>
  <si>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</si>
  <si>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</si>
  <si>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</si>
  <si>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</si>
  <si>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</si>
  <si>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</si>
  <si>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</si>
  <si>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</si>
  <si>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</si>
  <si>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</si>
  <si>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</si>
  <si>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</si>
  <si>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</si>
  <si>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</si>
  <si>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</si>
  <si>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</si>
  <si>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</si>
  <si>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</si>
  <si>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</si>
  <si>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</si>
  <si>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</si>
  <si>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</si>
  <si>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</si>
  <si>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</si>
  <si>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</si>
  <si>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</si>
  <si>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</si>
  <si>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</si>
  <si>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</si>
  <si>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</si>
  <si>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</si>
  <si>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</si>
  <si>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</si>
  <si>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</si>
  <si>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</si>
  <si>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</si>
  <si>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</si>
  <si>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</si>
  <si>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</si>
  <si>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</si>
  <si>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</si>
  <si>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</si>
  <si>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</si>
  <si>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</si>
  <si>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</si>
  <si>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</si>
  <si>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</si>
  <si>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</si>
  <si>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</si>
  <si>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</si>
  <si>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</si>
  <si>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</si>
  <si>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</si>
  <si>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</si>
  <si>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</si>
  <si>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</si>
  <si>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</si>
  <si>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</si>
  <si>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</si>
  <si>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61 tonn, men det legges til grunn at hele avsetningen tas</t>
  </si>
  <si>
    <t>4 Registrert rekreasjonsfiske utgjør 504 tonn, men det legges til grunn at hele avsetningen tas</t>
  </si>
  <si>
    <t>3 Registrert rekreasjonsfiske utgjør 879 tonn, men det legges til grunn at hele avsetningen tas</t>
  </si>
  <si>
    <t>FANGST UKE 43</t>
  </si>
  <si>
    <t>FANGST T.O.M UKE 43</t>
  </si>
  <si>
    <t>RESTKVOTER UKE 43</t>
  </si>
  <si>
    <t>FANGST T.O.M UKE 43 2023</t>
  </si>
  <si>
    <r>
      <t>3</t>
    </r>
    <r>
      <rPr>
        <sz val="9"/>
        <color indexed="8"/>
        <rFont val="Calibri"/>
        <family val="2"/>
      </rPr>
      <t xml:space="preserve"> Det er fisket 7 131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</si>
</sst>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152" zoomScale="85" zoomScaleNormal="85" zoomScaleSheetLayoutView="100" zoomScalePageLayoutView="85" workbookViewId="0">
      <selection activeCell="G154" sqref="G154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3" t="s">
        <v>118</v>
      </c>
      <c r="C2" s="304"/>
      <c r="D2" s="304"/>
      <c r="E2" s="304"/>
      <c r="F2" s="304"/>
      <c r="G2" s="304"/>
      <c r="H2" s="304"/>
      <c r="I2" s="304"/>
      <c r="J2" s="305"/>
    </row>
    <row r="3" spans="1:10" ht="14.85" customHeight="1" x14ac:dyDescent="0.2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" customHeight="1" x14ac:dyDescent="0.2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2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2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2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" customHeight="1" x14ac:dyDescent="0.2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25">
      <c r="A17" s="101"/>
      <c r="B17" s="24"/>
      <c r="C17" s="302" t="s">
        <v>135</v>
      </c>
      <c r="D17" s="302"/>
      <c r="E17" s="302"/>
      <c r="F17" s="302"/>
      <c r="G17" s="302"/>
      <c r="H17" s="302"/>
      <c r="I17" s="101"/>
      <c r="J17" s="157"/>
    </row>
    <row r="18" spans="1:10" ht="15" customHeight="1" x14ac:dyDescent="0.2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" customHeight="1" x14ac:dyDescent="0.2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106.47825</v>
      </c>
      <c r="G23" s="28">
        <f t="shared" si="0"/>
        <v>45132.913349999995</v>
      </c>
      <c r="H23" s="11">
        <f t="shared" si="0"/>
        <v>15679.086650000001</v>
      </c>
      <c r="I23" s="11">
        <f t="shared" si="0"/>
        <v>65027.886590000002</v>
      </c>
      <c r="J23" s="244"/>
    </row>
    <row r="24" spans="1:10" ht="14.1" customHeight="1" x14ac:dyDescent="0.25">
      <c r="A24" s="1"/>
      <c r="B24" s="254"/>
      <c r="C24" s="44" t="s">
        <v>20</v>
      </c>
      <c r="D24" s="45">
        <v>61689</v>
      </c>
      <c r="E24" s="45">
        <v>60042</v>
      </c>
      <c r="F24" s="23">
        <f>106.47825</f>
        <v>106.47825</v>
      </c>
      <c r="G24" s="23">
        <f>44603.05506</f>
        <v>44603.055059999999</v>
      </c>
      <c r="H24" s="23">
        <f>E24-G24</f>
        <v>15438.944940000001</v>
      </c>
      <c r="I24" s="23">
        <f>64470.89224</f>
        <v>64470.892240000001</v>
      </c>
      <c r="J24" s="244"/>
    </row>
    <row r="25" spans="1:10" ht="14.1" customHeight="1" x14ac:dyDescent="0.25">
      <c r="A25" s="1"/>
      <c r="B25" s="254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529.85829</f>
        <v>529.85829000000001</v>
      </c>
      <c r="H25" s="23">
        <f>E25-G25</f>
        <v>240.14170999999999</v>
      </c>
      <c r="I25" s="23">
        <f>556.99435</f>
        <v>556.99435000000005</v>
      </c>
      <c r="J25" s="244"/>
    </row>
    <row r="26" spans="1:10" ht="14.1" customHeight="1" x14ac:dyDescent="0.2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942.50079000000005</v>
      </c>
      <c r="G26" s="11">
        <f t="shared" si="1"/>
        <v>127114.64007999998</v>
      </c>
      <c r="H26" s="11">
        <f t="shared" si="1"/>
        <v>17759.359919999999</v>
      </c>
      <c r="I26" s="11">
        <f t="shared" si="1"/>
        <v>189721.58291999996</v>
      </c>
      <c r="J26" s="244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620.22402000000011</v>
      </c>
      <c r="G27" s="132">
        <f t="shared" ref="G27:I27" si="2">G28+G29+G30+G31+G32</f>
        <v>103248.72679999999</v>
      </c>
      <c r="H27" s="132">
        <f t="shared" si="2"/>
        <v>9729.2731999999996</v>
      </c>
      <c r="I27" s="132">
        <f t="shared" si="2"/>
        <v>147762.86740999998</v>
      </c>
      <c r="J27" s="244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117.95527</f>
        <v>117.95527</v>
      </c>
      <c r="G28" s="127">
        <f>26856.0007 - G56</f>
        <v>25887.000700000001</v>
      </c>
      <c r="H28" s="127">
        <f t="shared" ref="H28:H40" si="3">E28-G28</f>
        <v>2742.9992999999995</v>
      </c>
      <c r="I28" s="127">
        <f>37637.15199 - H56</f>
        <v>37637.151989999998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141.96905</f>
        <v>141.96905000000001</v>
      </c>
      <c r="G29" s="127">
        <f>29354.07835 - G57</f>
        <v>28037.07835</v>
      </c>
      <c r="H29" s="127">
        <f t="shared" si="3"/>
        <v>1627.9216500000002</v>
      </c>
      <c r="I29" s="127">
        <f>40503.0547 - H57</f>
        <v>40503.054700000001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51.47199</f>
        <v>51.471989999999998</v>
      </c>
      <c r="G30" s="127">
        <f>26945.01335 - G58</f>
        <v>25674.013350000001</v>
      </c>
      <c r="H30" s="127">
        <f t="shared" si="3"/>
        <v>1569.9866499999989</v>
      </c>
      <c r="I30" s="127">
        <f>37554.67872 - H58</f>
        <v>37554.678720000004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11.82771</f>
        <v>11.82771</v>
      </c>
      <c r="G31" s="127">
        <f>20093.6344 - G59</f>
        <v>19008.634399999999</v>
      </c>
      <c r="H31" s="127">
        <f t="shared" si="3"/>
        <v>330.365600000001</v>
      </c>
      <c r="I31" s="127">
        <f>25218.982 - H59</f>
        <v>25218.982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297</v>
      </c>
      <c r="G32" s="127">
        <f>G55</f>
        <v>4642</v>
      </c>
      <c r="H32" s="127">
        <f t="shared" si="3"/>
        <v>3458</v>
      </c>
      <c r="I32" s="127">
        <f>I55</f>
        <v>6849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205.416</f>
        <v>205.416</v>
      </c>
      <c r="G33" s="132">
        <f>11595.07286</f>
        <v>11595.07286</v>
      </c>
      <c r="H33" s="132">
        <f t="shared" si="3"/>
        <v>5263.9271399999998</v>
      </c>
      <c r="I33" s="132">
        <f>16811.50437</f>
        <v>16811.504369999999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116.86077</v>
      </c>
      <c r="G34" s="132">
        <f>G35+G36</f>
        <v>12270.84042</v>
      </c>
      <c r="H34" s="132">
        <f t="shared" si="3"/>
        <v>2766.1595799999996</v>
      </c>
      <c r="I34" s="132">
        <f>I35+I36</f>
        <v>25147.211139999999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63.86077</f>
        <v>63.860770000000002</v>
      </c>
      <c r="G35" s="132">
        <f>15134.84042 - G60 - G61</f>
        <v>11656.84042</v>
      </c>
      <c r="H35" s="127">
        <f t="shared" si="3"/>
        <v>2420.1595799999996</v>
      </c>
      <c r="I35" s="127">
        <f>24921.21114 - H60 - H61</f>
        <v>24439.211139999999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53</v>
      </c>
      <c r="G36" s="71">
        <f>G60</f>
        <v>614</v>
      </c>
      <c r="H36" s="71">
        <f t="shared" si="3"/>
        <v>346</v>
      </c>
      <c r="I36" s="71">
        <f>I60</f>
        <v>708</v>
      </c>
      <c r="J36" s="65"/>
    </row>
    <row r="37" spans="1:13" ht="15.75" customHeight="1" x14ac:dyDescent="0.2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" customHeight="1" x14ac:dyDescent="0.25">
      <c r="A38" s="1"/>
      <c r="B38" s="254"/>
      <c r="C38" s="73" t="s">
        <v>34</v>
      </c>
      <c r="D38" s="143">
        <v>855</v>
      </c>
      <c r="E38" s="143">
        <v>855</v>
      </c>
      <c r="F38" s="98">
        <f>0</f>
        <v>0</v>
      </c>
      <c r="G38" s="98">
        <f>489.91078</f>
        <v>489.91077999999999</v>
      </c>
      <c r="H38" s="98">
        <f t="shared" si="3"/>
        <v>365.08922000000001</v>
      </c>
      <c r="I38" s="98">
        <f>511.81712</f>
        <v>511.81711999999999</v>
      </c>
      <c r="J38" s="244"/>
    </row>
    <row r="39" spans="1:13" ht="17.25" customHeight="1" x14ac:dyDescent="0.2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8</v>
      </c>
      <c r="G39" s="98">
        <f>G61</f>
        <v>2864</v>
      </c>
      <c r="H39" s="98">
        <f t="shared" si="3"/>
        <v>136</v>
      </c>
      <c r="I39" s="98">
        <f>I61</f>
        <v>4419</v>
      </c>
      <c r="J39" s="244"/>
    </row>
    <row r="40" spans="1:13" ht="17.25" customHeight="1" x14ac:dyDescent="0.25">
      <c r="A40" s="1"/>
      <c r="B40" s="254"/>
      <c r="C40" s="73" t="s">
        <v>36</v>
      </c>
      <c r="D40" s="143">
        <v>7000</v>
      </c>
      <c r="E40" s="143">
        <v>7000</v>
      </c>
      <c r="F40" s="98">
        <f>1.67196</f>
        <v>1.6719599999999999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25">
      <c r="A41" s="1"/>
      <c r="B41" s="254"/>
      <c r="C41" s="73" t="s">
        <v>38</v>
      </c>
      <c r="D41" s="143">
        <v>400</v>
      </c>
      <c r="E41" s="143">
        <v>400</v>
      </c>
      <c r="F41" s="98">
        <f>2.79844</f>
        <v>2.7984399999999998</v>
      </c>
      <c r="G41" s="98">
        <f>347.2198</f>
        <v>347.21980000000002</v>
      </c>
      <c r="H41" s="98">
        <f>E41-G41</f>
        <v>52.780199999999979</v>
      </c>
      <c r="I41" s="98">
        <f>357.68785</f>
        <v>357.68785000000003</v>
      </c>
      <c r="J41" s="244"/>
    </row>
    <row r="42" spans="1:13" ht="17.25" customHeight="1" x14ac:dyDescent="0.2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" customHeight="1" x14ac:dyDescent="0.25">
      <c r="A43" s="1"/>
      <c r="B43" s="254"/>
      <c r="C43" s="73" t="s">
        <v>39</v>
      </c>
      <c r="D43" s="143"/>
      <c r="E43" s="139"/>
      <c r="F43" s="139">
        <f>6.764</f>
        <v>6.7640000000000002</v>
      </c>
      <c r="G43" s="139">
        <f>153.08625</f>
        <v>153.08625000000001</v>
      </c>
      <c r="H43" s="139">
        <f t="shared" ref="H43" si="4">E43-G43</f>
        <v>-153.08625000000001</v>
      </c>
      <c r="I43" s="139">
        <f>147.14577</f>
        <v>147.14577</v>
      </c>
      <c r="J43" s="244"/>
    </row>
    <row r="44" spans="1:13" ht="16.5" customHeight="1" x14ac:dyDescent="0.2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1068.21344</v>
      </c>
      <c r="G44" s="76">
        <f t="shared" si="5"/>
        <v>183450.13545999996</v>
      </c>
      <c r="H44" s="76">
        <f t="shared" si="5"/>
        <v>35590.864540000002</v>
      </c>
      <c r="I44" s="76">
        <f t="shared" si="5"/>
        <v>267931.91184999997</v>
      </c>
      <c r="J44" s="244"/>
    </row>
    <row r="45" spans="1:13" ht="14.1" customHeight="1" x14ac:dyDescent="0.2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" customHeight="1" x14ac:dyDescent="0.2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" customHeight="1" x14ac:dyDescent="0.2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" customHeight="1" x14ac:dyDescent="0.2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2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295">
        <v>8100</v>
      </c>
      <c r="F55" s="11">
        <f>F59+F58+F57+F56</f>
        <v>297</v>
      </c>
      <c r="G55" s="11">
        <f>G59+G58+G57+G56</f>
        <v>4642</v>
      </c>
      <c r="H55" s="295">
        <f>E55-G55</f>
        <v>3458</v>
      </c>
      <c r="I55" s="11">
        <f>I59+I58+I57+I56</f>
        <v>6849</v>
      </c>
      <c r="J55" s="120"/>
    </row>
    <row r="56" spans="1:10" ht="14.1" customHeight="1" x14ac:dyDescent="0.25">
      <c r="A56" s="101"/>
      <c r="B56" s="24"/>
      <c r="C56" s="62" t="s">
        <v>24</v>
      </c>
      <c r="D56" s="296"/>
      <c r="E56" s="296"/>
      <c r="F56" s="127">
        <v>96</v>
      </c>
      <c r="G56" s="127">
        <v>969</v>
      </c>
      <c r="H56" s="296"/>
      <c r="I56" s="127">
        <v>1014</v>
      </c>
      <c r="J56" s="120"/>
    </row>
    <row r="57" spans="1:10" ht="14.1" customHeight="1" x14ac:dyDescent="0.25">
      <c r="A57" s="101"/>
      <c r="B57" s="24"/>
      <c r="C57" s="62" t="s">
        <v>25</v>
      </c>
      <c r="D57" s="296"/>
      <c r="E57" s="296"/>
      <c r="F57" s="127">
        <v>103</v>
      </c>
      <c r="G57" s="127">
        <v>1317</v>
      </c>
      <c r="H57" s="296"/>
      <c r="I57" s="127">
        <v>2149</v>
      </c>
      <c r="J57" s="244"/>
    </row>
    <row r="58" spans="1:10" ht="14.1" customHeight="1" x14ac:dyDescent="0.25">
      <c r="A58" s="101"/>
      <c r="B58" s="24"/>
      <c r="C58" s="62" t="s">
        <v>26</v>
      </c>
      <c r="D58" s="296"/>
      <c r="E58" s="296"/>
      <c r="F58" s="127">
        <v>84</v>
      </c>
      <c r="G58" s="127">
        <v>1271</v>
      </c>
      <c r="H58" s="296"/>
      <c r="I58" s="127">
        <v>2508</v>
      </c>
      <c r="J58" s="120"/>
    </row>
    <row r="59" spans="1:10" ht="14.1" customHeight="1" x14ac:dyDescent="0.25">
      <c r="A59" s="101"/>
      <c r="B59" s="24"/>
      <c r="C59" s="87" t="s">
        <v>27</v>
      </c>
      <c r="D59" s="297"/>
      <c r="E59" s="297"/>
      <c r="F59" s="192">
        <v>14</v>
      </c>
      <c r="G59" s="192">
        <v>1085</v>
      </c>
      <c r="H59" s="297"/>
      <c r="I59" s="192">
        <v>1178</v>
      </c>
      <c r="J59" s="120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960</v>
      </c>
      <c r="F60" s="95">
        <v>53</v>
      </c>
      <c r="G60" s="95">
        <v>614</v>
      </c>
      <c r="H60" s="95">
        <f>E60-G60</f>
        <v>346</v>
      </c>
      <c r="I60" s="95">
        <v>708</v>
      </c>
      <c r="J60" s="244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3000</v>
      </c>
      <c r="F61" s="139">
        <v>8</v>
      </c>
      <c r="G61" s="139">
        <v>2864</v>
      </c>
      <c r="H61" s="139">
        <f>E61-G61</f>
        <v>136</v>
      </c>
      <c r="I61" s="139">
        <v>4419</v>
      </c>
      <c r="J61" s="120"/>
    </row>
    <row r="62" spans="1:10" ht="14.1" customHeight="1" x14ac:dyDescent="0.2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" customHeight="1" x14ac:dyDescent="0.2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2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9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4"/>
    </row>
    <row r="82" spans="1:10" ht="15" customHeight="1" x14ac:dyDescent="0.2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2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" customHeight="1" x14ac:dyDescent="0.2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2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2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2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" customHeight="1" x14ac:dyDescent="0.2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2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2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" customHeight="1" x14ac:dyDescent="0.2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30.427600000000002</v>
      </c>
      <c r="G92" s="11">
        <f t="shared" si="6"/>
        <v>23835.400079999999</v>
      </c>
      <c r="H92" s="11">
        <f t="shared" si="6"/>
        <v>2125.5999200000006</v>
      </c>
      <c r="I92" s="11">
        <f t="shared" si="6"/>
        <v>40713.542369999996</v>
      </c>
      <c r="J92" s="244"/>
    </row>
    <row r="93" spans="1:10" ht="15" customHeight="1" x14ac:dyDescent="0.25">
      <c r="A93" s="1"/>
      <c r="B93" s="254"/>
      <c r="C93" s="44" t="s">
        <v>20</v>
      </c>
      <c r="D93" s="45">
        <v>25957</v>
      </c>
      <c r="E93" s="45">
        <v>25136</v>
      </c>
      <c r="F93" s="23">
        <f>30.4276</f>
        <v>30.427600000000002</v>
      </c>
      <c r="G93" s="23">
        <f>23039.99253</f>
        <v>23039.99253</v>
      </c>
      <c r="H93" s="23">
        <f>E93-G93</f>
        <v>2096.0074700000005</v>
      </c>
      <c r="I93" s="23">
        <f>40157.55078</f>
        <v>40157.550779999998</v>
      </c>
      <c r="J93" s="244"/>
    </row>
    <row r="94" spans="1:10" ht="14.1" customHeight="1" x14ac:dyDescent="0.25">
      <c r="A94" s="1"/>
      <c r="B94" s="254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795.40755</f>
        <v>795.40755000000001</v>
      </c>
      <c r="H94" s="50">
        <f>E94-G94</f>
        <v>29.592449999999985</v>
      </c>
      <c r="I94" s="50">
        <f>555.99159</f>
        <v>555.99158999999997</v>
      </c>
      <c r="J94" s="244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419.62936999999999</v>
      </c>
      <c r="G95" s="11">
        <f t="shared" si="7"/>
        <v>41225.432840000001</v>
      </c>
      <c r="H95" s="11">
        <f t="shared" si="7"/>
        <v>7768.5671599999987</v>
      </c>
      <c r="I95" s="11">
        <f t="shared" si="7"/>
        <v>33599.808810000002</v>
      </c>
      <c r="J95" s="244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230.29420999999999</v>
      </c>
      <c r="G96" s="132">
        <f t="shared" si="8"/>
        <v>33061.547010000002</v>
      </c>
      <c r="H96" s="132">
        <f t="shared" si="8"/>
        <v>4432.4529899999989</v>
      </c>
      <c r="I96" s="132">
        <f t="shared" si="8"/>
        <v>23403.552940000001</v>
      </c>
      <c r="J96" s="244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133.20596</f>
        <v>133.20596</v>
      </c>
      <c r="G97" s="127">
        <f>5575.3949</f>
        <v>5575.3949000000002</v>
      </c>
      <c r="H97" s="127">
        <f t="shared" ref="H97:H104" si="9">E97-G97</f>
        <v>4439.6050999999998</v>
      </c>
      <c r="I97" s="127">
        <f>4106.79722</f>
        <v>4106.7972200000004</v>
      </c>
      <c r="J97" s="244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35.03019</f>
        <v>35.030189999999997</v>
      </c>
      <c r="G98" s="127">
        <f>10586.10158</f>
        <v>10586.10158</v>
      </c>
      <c r="H98" s="127">
        <f t="shared" si="9"/>
        <v>27.898419999999533</v>
      </c>
      <c r="I98" s="127">
        <f>7380.35768</f>
        <v>7380.3576800000001</v>
      </c>
      <c r="J98" s="244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32.32036</f>
        <v>32.320360000000001</v>
      </c>
      <c r="G99" s="127">
        <f>9906.96037</f>
        <v>9906.9603700000007</v>
      </c>
      <c r="H99" s="127">
        <f t="shared" si="9"/>
        <v>205.03962999999931</v>
      </c>
      <c r="I99" s="127">
        <f>6704.17482</f>
        <v>6704.1748200000002</v>
      </c>
      <c r="J99" s="244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29.7377</f>
        <v>29.7377</v>
      </c>
      <c r="G100" s="127">
        <f>6993.09016</f>
        <v>6993.0901599999997</v>
      </c>
      <c r="H100" s="127">
        <f t="shared" si="9"/>
        <v>-240.09015999999974</v>
      </c>
      <c r="I100" s="127">
        <f>5212.22322</f>
        <v>5212.2232199999999</v>
      </c>
      <c r="J100" s="244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119.917</f>
        <v>119.917</v>
      </c>
      <c r="G101" s="132">
        <f>5622.95431</f>
        <v>5622.9543100000001</v>
      </c>
      <c r="H101" s="132">
        <f t="shared" si="9"/>
        <v>1973.0456899999999</v>
      </c>
      <c r="I101" s="132">
        <f>8203.95435</f>
        <v>8203.95435</v>
      </c>
      <c r="J101" s="244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69.41816</f>
        <v>69.41816</v>
      </c>
      <c r="G102" s="75">
        <f>2540.93152</f>
        <v>2540.9315200000001</v>
      </c>
      <c r="H102" s="75">
        <f t="shared" si="9"/>
        <v>1363.0684799999999</v>
      </c>
      <c r="I102" s="75">
        <f>1992.30152</f>
        <v>1992.30152</v>
      </c>
      <c r="J102" s="244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36.14478</f>
        <v>36.144779999999997</v>
      </c>
      <c r="H103" s="98">
        <f t="shared" si="9"/>
        <v>282.85522000000003</v>
      </c>
      <c r="I103" s="98">
        <f>11.43589</f>
        <v>11.435890000000001</v>
      </c>
      <c r="J103" s="244"/>
    </row>
    <row r="104" spans="1:10" ht="18" customHeight="1" x14ac:dyDescent="0.25">
      <c r="A104" s="1"/>
      <c r="B104" s="254"/>
      <c r="C104" s="73" t="s">
        <v>54</v>
      </c>
      <c r="D104" s="143">
        <v>300</v>
      </c>
      <c r="E104" s="143">
        <v>300</v>
      </c>
      <c r="F104" s="139">
        <f>0.05726</f>
        <v>5.7259999999999998E-2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25">
      <c r="A105" s="1"/>
      <c r="B105" s="254"/>
      <c r="C105" s="93" t="s">
        <v>38</v>
      </c>
      <c r="D105" s="143">
        <v>50</v>
      </c>
      <c r="E105" s="143">
        <v>50</v>
      </c>
      <c r="F105" s="98">
        <f>4.87518</f>
        <v>4.8751800000000003</v>
      </c>
      <c r="G105" s="98">
        <f>49.42556</f>
        <v>49.425559999999997</v>
      </c>
      <c r="H105" s="139">
        <f>E105-G105</f>
        <v>0.57444000000000273</v>
      </c>
      <c r="I105" s="98">
        <f>12.6632</f>
        <v>12.6632</v>
      </c>
      <c r="J105" s="244"/>
    </row>
    <row r="106" spans="1:10" ht="18" customHeight="1" x14ac:dyDescent="0.25">
      <c r="A106" s="1"/>
      <c r="B106" s="254"/>
      <c r="C106" s="93" t="s">
        <v>55</v>
      </c>
      <c r="D106" s="143"/>
      <c r="E106" s="139"/>
      <c r="F106" s="139">
        <f>4.48058</f>
        <v>4.4805799999999998</v>
      </c>
      <c r="G106" s="139">
        <f>60.97618</f>
        <v>60.976179999999999</v>
      </c>
      <c r="H106" s="139">
        <f t="shared" ref="H106" si="10">E106-G106</f>
        <v>-60.976179999999999</v>
      </c>
      <c r="I106" s="139">
        <f>97.17776</f>
        <v>97.177760000000006</v>
      </c>
      <c r="J106" s="244"/>
    </row>
    <row r="107" spans="1:10" ht="16.5" customHeight="1" x14ac:dyDescent="0.2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459.46998999999994</v>
      </c>
      <c r="G107" s="76">
        <f t="shared" si="12"/>
        <v>65507.379440000004</v>
      </c>
      <c r="H107" s="76">
        <f t="shared" si="12"/>
        <v>10116.620559999999</v>
      </c>
      <c r="I107" s="76">
        <f t="shared" si="12"/>
        <v>74734.628029999993</v>
      </c>
      <c r="J107" s="244"/>
    </row>
    <row r="108" spans="1:10" ht="13.5" customHeight="1" x14ac:dyDescent="0.2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2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2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2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2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00000000000001" customHeight="1" x14ac:dyDescent="0.2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2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" customHeight="1" x14ac:dyDescent="0.2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" customHeight="1" x14ac:dyDescent="0.2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" customHeight="1" x14ac:dyDescent="0.2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2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2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2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" customHeight="1" x14ac:dyDescent="0.2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333.54349999999999</v>
      </c>
      <c r="G128" s="11">
        <f t="shared" si="13"/>
        <v>51803.495790000001</v>
      </c>
      <c r="H128" s="11">
        <f t="shared" si="13"/>
        <v>20503.504209999999</v>
      </c>
      <c r="I128" s="11">
        <f t="shared" si="13"/>
        <v>59827.023310000004</v>
      </c>
      <c r="J128" s="244"/>
    </row>
    <row r="129" spans="1:10" ht="14.1" customHeight="1" x14ac:dyDescent="0.25">
      <c r="A129" s="1"/>
      <c r="B129" s="254"/>
      <c r="C129" s="44" t="s">
        <v>20</v>
      </c>
      <c r="D129" s="45">
        <v>60688</v>
      </c>
      <c r="E129" s="45">
        <v>57562</v>
      </c>
      <c r="F129" s="23">
        <f>333.5435</f>
        <v>333.54349999999999</v>
      </c>
      <c r="G129" s="23">
        <f>46071.97984</f>
        <v>46071.97984</v>
      </c>
      <c r="H129" s="23">
        <f>E129-G129</f>
        <v>11490.02016</v>
      </c>
      <c r="I129" s="23">
        <f>52134.83481</f>
        <v>52134.83481</v>
      </c>
      <c r="J129" s="244"/>
    </row>
    <row r="130" spans="1:10" ht="15" customHeight="1" x14ac:dyDescent="0.25">
      <c r="A130" s="1"/>
      <c r="B130" s="254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5658.5138</f>
        <v>5658.5137999999997</v>
      </c>
      <c r="H130" s="23">
        <f>E130-G130</f>
        <v>8586.4861999999994</v>
      </c>
      <c r="I130" s="23">
        <f>7552.75345</f>
        <v>7552.7534500000002</v>
      </c>
      <c r="J130" s="244"/>
    </row>
    <row r="131" spans="1:10" ht="13.5" customHeight="1" x14ac:dyDescent="0.2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73.00215</f>
        <v>73.00215</v>
      </c>
      <c r="H131" s="55">
        <f>E131-G131</f>
        <v>426.99784999999997</v>
      </c>
      <c r="I131" s="23">
        <f>139.43505</f>
        <v>139.43504999999999</v>
      </c>
      <c r="J131" s="244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165.993</f>
        <v>165.99299999999999</v>
      </c>
      <c r="G132" s="95">
        <f>16572.5928+7131</f>
        <v>23703.592799999999</v>
      </c>
      <c r="H132" s="95">
        <f>E132-G132</f>
        <v>28792.407200000001</v>
      </c>
      <c r="I132" s="95">
        <f>38916.25318</f>
        <v>38916.25318</v>
      </c>
      <c r="J132" s="116"/>
    </row>
    <row r="133" spans="1:10" ht="15.75" customHeight="1" x14ac:dyDescent="0.2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858.9059400000001</v>
      </c>
      <c r="G133" s="94">
        <f t="shared" ref="G133" si="14">G134+G139+G142</f>
        <v>60459.202880000004</v>
      </c>
      <c r="H133" s="94">
        <f>H134+H139+H142</f>
        <v>19705.797119999996</v>
      </c>
      <c r="I133" s="94">
        <f>I134+I139+I142</f>
        <v>70429.961260000011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774.67744000000005</v>
      </c>
      <c r="G134" s="125">
        <f>G135+G136+G138+G137</f>
        <v>45310.456620000004</v>
      </c>
      <c r="H134" s="125">
        <f>H135+H136+H137+H138</f>
        <v>13768.543379999999</v>
      </c>
      <c r="I134" s="125">
        <f>I135+I136+I137+I138</f>
        <v>55575.686560000002</v>
      </c>
      <c r="J134" s="280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177.32755</f>
        <v>177.32755</v>
      </c>
      <c r="G135" s="127">
        <v>10403.31328</v>
      </c>
      <c r="H135" s="127">
        <f>E135-G135</f>
        <v>7370.6867199999997</v>
      </c>
      <c r="I135" s="127">
        <f>9543.93265</f>
        <v>9543.9326500000006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180.24767</f>
        <v>180.24767</v>
      </c>
      <c r="G136" s="127">
        <v>12856.970384999999</v>
      </c>
      <c r="H136" s="127">
        <f>E136-G136</f>
        <v>2082.0296150000013</v>
      </c>
      <c r="I136" s="127">
        <f>14622.43016</f>
        <v>14622.43016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215.5975</f>
        <v>215.5975</v>
      </c>
      <c r="G137" s="127">
        <v>11261.583205000001</v>
      </c>
      <c r="H137" s="127">
        <f>E137-G137</f>
        <v>1789.4167949999992</v>
      </c>
      <c r="I137" s="127">
        <f>17067.23289</f>
        <v>17067.232889999999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201.50472</f>
        <v>201.50471999999999</v>
      </c>
      <c r="G138" s="127">
        <v>10788.589750000001</v>
      </c>
      <c r="H138" s="127">
        <f>E138-G138</f>
        <v>2526.410249999999</v>
      </c>
      <c r="I138" s="127">
        <f>14342.09086</f>
        <v>14342.09086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0</v>
      </c>
      <c r="G139" s="132">
        <f>SUM(G140:G141)</f>
        <v>8921.0054800000016</v>
      </c>
      <c r="H139" s="132">
        <f>H140+H141</f>
        <v>8.9945199999992269</v>
      </c>
      <c r="I139" s="132">
        <f>SUM(I140:I141)</f>
        <v>7417.5992999999999</v>
      </c>
      <c r="J139" s="133"/>
    </row>
    <row r="140" spans="1:10" ht="14.1" customHeight="1" x14ac:dyDescent="0.25">
      <c r="A140" s="1"/>
      <c r="B140" s="254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8475.06283</f>
        <v>8475.0628300000008</v>
      </c>
      <c r="H140" s="127">
        <f t="shared" ref="H140:H148" si="15">E140-G140</f>
        <v>-45.062830000000758</v>
      </c>
      <c r="I140" s="127">
        <f>7153.00504</f>
        <v>7153.00504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0</f>
        <v>0</v>
      </c>
      <c r="G141" s="127">
        <f>445.94265</f>
        <v>445.94265000000001</v>
      </c>
      <c r="H141" s="127">
        <f t="shared" si="15"/>
        <v>54.057349999999985</v>
      </c>
      <c r="I141" s="127">
        <f>264.59426</f>
        <v>264.59426000000002</v>
      </c>
      <c r="J141" s="134"/>
    </row>
    <row r="142" spans="1:10" ht="15.75" customHeight="1" x14ac:dyDescent="0.25">
      <c r="A142" s="1"/>
      <c r="B142" s="254"/>
      <c r="C142" s="38" t="s">
        <v>11</v>
      </c>
      <c r="D142" s="61">
        <v>10907</v>
      </c>
      <c r="E142" s="61">
        <v>12156</v>
      </c>
      <c r="F142" s="75">
        <f>84.2285</f>
        <v>84.228499999999997</v>
      </c>
      <c r="G142" s="75">
        <f>6227.74078</f>
        <v>6227.7407800000001</v>
      </c>
      <c r="H142" s="75">
        <f t="shared" si="15"/>
        <v>5928.2592199999999</v>
      </c>
      <c r="I142" s="75">
        <f>7436.6754</f>
        <v>7436.6754000000001</v>
      </c>
      <c r="J142" s="120"/>
    </row>
    <row r="143" spans="1:10" ht="15.75" customHeight="1" x14ac:dyDescent="0.25">
      <c r="A143" s="1"/>
      <c r="B143" s="254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16.12295</f>
        <v>16.122949999999999</v>
      </c>
      <c r="H143" s="139">
        <f t="shared" si="15"/>
        <v>129.87705</v>
      </c>
      <c r="I143" s="139">
        <f>31.95013</f>
        <v>31.950130000000001</v>
      </c>
      <c r="J143" s="120"/>
    </row>
    <row r="144" spans="1:10" ht="15.75" customHeight="1" x14ac:dyDescent="0.2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25">
      <c r="A145" s="1"/>
      <c r="B145" s="254"/>
      <c r="C145" s="140" t="s">
        <v>69</v>
      </c>
      <c r="D145" s="143">
        <v>2000</v>
      </c>
      <c r="E145" s="143">
        <v>2000</v>
      </c>
      <c r="F145" s="139">
        <f>1.51471</f>
        <v>1.51471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2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4"/>
      <c r="C147" s="142" t="s">
        <v>70</v>
      </c>
      <c r="D147" s="143">
        <v>276</v>
      </c>
      <c r="E147" s="143">
        <v>276</v>
      </c>
      <c r="F147" s="98">
        <f>8.1852</f>
        <v>8.1852</v>
      </c>
      <c r="G147" s="98">
        <f>69.38241</f>
        <v>69.382409999999993</v>
      </c>
      <c r="H147" s="139">
        <f t="shared" si="15"/>
        <v>206.61759000000001</v>
      </c>
      <c r="I147" s="98">
        <f>28.42438</f>
        <v>28.424379999999999</v>
      </c>
      <c r="J147" s="120"/>
    </row>
    <row r="148" spans="1:10" ht="15" customHeight="1" x14ac:dyDescent="0.25">
      <c r="A148" s="1"/>
      <c r="B148" s="254"/>
      <c r="C148" s="142" t="s">
        <v>39</v>
      </c>
      <c r="D148" s="145"/>
      <c r="E148" s="143"/>
      <c r="F148" s="139">
        <f>23.61</f>
        <v>23.61</v>
      </c>
      <c r="G148" s="139">
        <f>206.66804</f>
        <v>206.66803999999999</v>
      </c>
      <c r="H148" s="139">
        <f t="shared" si="15"/>
        <v>-206.66803999999999</v>
      </c>
      <c r="I148" s="139">
        <f>190.81863</f>
        <v>190.81863000000001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1391.7523499999998</v>
      </c>
      <c r="G150" s="76">
        <f>G128+G132+G133+G143+G144+G145+G146+G147+G148</f>
        <v>138514.50086999996</v>
      </c>
      <c r="H150" s="76">
        <f>H128+H132+H133+H143+H144+H145+H146+H147+H148</f>
        <v>69125.499129999997</v>
      </c>
      <c r="I150" s="76">
        <f>I128+I132+I133+I143+I144+I145+I146+I147+I148</f>
        <v>171687.01189000005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2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2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2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" customHeight="1" x14ac:dyDescent="0.2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" customHeight="1" x14ac:dyDescent="0.2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" customHeight="1" x14ac:dyDescent="0.2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" customHeight="1" x14ac:dyDescent="0.2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" customHeight="1" x14ac:dyDescent="0.2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2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2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" customHeight="1" x14ac:dyDescent="0.25">
      <c r="A175" s="1"/>
      <c r="B175" s="254"/>
      <c r="C175" s="141" t="s">
        <v>75</v>
      </c>
      <c r="D175" s="94">
        <v>4223</v>
      </c>
      <c r="E175" s="276">
        <f>0</f>
        <v>0</v>
      </c>
      <c r="F175" s="276">
        <f>1134.07708</f>
        <v>1134.07708</v>
      </c>
      <c r="G175" s="43">
        <f>D175-F175-F176</f>
        <v>1523.4286199999999</v>
      </c>
      <c r="H175" s="276">
        <f>1634.37343</f>
        <v>1634.3734300000001</v>
      </c>
      <c r="I175" s="1"/>
      <c r="J175" s="120"/>
    </row>
    <row r="176" spans="1:10" ht="14.1" customHeight="1" x14ac:dyDescent="0.25">
      <c r="A176" s="1"/>
      <c r="B176" s="254"/>
      <c r="C176" s="137" t="s">
        <v>53</v>
      </c>
      <c r="D176" s="181"/>
      <c r="E176" s="152">
        <f>0</f>
        <v>0</v>
      </c>
      <c r="F176" s="152">
        <f>1565.4943</f>
        <v>1565.4943000000001</v>
      </c>
      <c r="G176" s="217"/>
      <c r="H176" s="152">
        <f>1746.17603</f>
        <v>1746.1760300000001</v>
      </c>
      <c r="I176" s="1"/>
      <c r="J176" s="120"/>
    </row>
    <row r="177" spans="1:10" ht="15.6" customHeight="1" x14ac:dyDescent="0.25">
      <c r="A177" s="1"/>
      <c r="B177" s="254"/>
      <c r="C177" s="169" t="s">
        <v>76</v>
      </c>
      <c r="D177" s="98">
        <v>200</v>
      </c>
      <c r="E177" s="172">
        <f>0.01976</f>
        <v>1.976E-2</v>
      </c>
      <c r="F177" s="172">
        <f>113.28025</f>
        <v>113.28025</v>
      </c>
      <c r="G177" s="172">
        <f>D177-F177</f>
        <v>86.719750000000005</v>
      </c>
      <c r="H177" s="172">
        <f>74.78746</f>
        <v>74.787459999999996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6.7515999999999998</v>
      </c>
      <c r="F178" s="181">
        <f>F179+F180+F181</f>
        <v>5976.7517099999995</v>
      </c>
      <c r="G178" s="181">
        <f>D178-F178</f>
        <v>357.24829000000045</v>
      </c>
      <c r="H178" s="181">
        <f>H179+H180+H181</f>
        <v>8120.5616799999998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0.2935</f>
        <v>0.29349999999999998</v>
      </c>
      <c r="F179" s="127">
        <f>3091.72826</f>
        <v>3091.7282599999999</v>
      </c>
      <c r="G179" s="127"/>
      <c r="H179" s="127">
        <f>4178.20236</f>
        <v>4178.2023600000002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3.89956</f>
        <v>3.8995600000000001</v>
      </c>
      <c r="F180" s="127">
        <f>1826.47808</f>
        <v>1826.4780800000001</v>
      </c>
      <c r="G180" s="127"/>
      <c r="H180" s="127">
        <f>2505.68785</f>
        <v>2505.6878499999998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2.55854</f>
        <v>2.5585399999999998</v>
      </c>
      <c r="F181" s="192">
        <f>1058.54537</f>
        <v>1058.54537</v>
      </c>
      <c r="G181" s="192"/>
      <c r="H181" s="192">
        <f>1436.67147</f>
        <v>1436.67147</v>
      </c>
      <c r="I181" s="186"/>
      <c r="J181" s="187"/>
    </row>
    <row r="182" spans="1:10" ht="14.1" customHeight="1" x14ac:dyDescent="0.2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2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6.7713599999999996</v>
      </c>
      <c r="F184" s="194">
        <f>F175+F176+F177+F178+F182+F183</f>
        <v>8789.6033399999997</v>
      </c>
      <c r="G184" s="194">
        <f>D184-F184</f>
        <v>2033.3966600000003</v>
      </c>
      <c r="H184" s="194">
        <f>H175+H176+H177+H178+H182+H183</f>
        <v>11575.8986</v>
      </c>
      <c r="I184" s="163"/>
      <c r="J184" s="160"/>
    </row>
    <row r="185" spans="1:10" ht="42" customHeight="1" x14ac:dyDescent="0.2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2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2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2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25">
      <c r="A204" s="1"/>
      <c r="B204" s="254"/>
      <c r="C204" s="90" t="s">
        <v>4</v>
      </c>
      <c r="D204" s="124">
        <v>46282</v>
      </c>
      <c r="E204" s="124">
        <f>0</f>
        <v>0</v>
      </c>
      <c r="F204" s="124">
        <f>41811.24744</f>
        <v>41811.247439999999</v>
      </c>
      <c r="G204" s="124">
        <f>D204-F204</f>
        <v>4470.7525600000008</v>
      </c>
      <c r="H204" s="124">
        <f>41237.74951</f>
        <v>41237.749510000001</v>
      </c>
      <c r="I204" s="248"/>
      <c r="J204" s="120"/>
    </row>
    <row r="205" spans="1:10" ht="15" customHeight="1" x14ac:dyDescent="0.25">
      <c r="A205" s="1"/>
      <c r="B205" s="254"/>
      <c r="C205" s="90" t="s">
        <v>67</v>
      </c>
      <c r="D205" s="124">
        <v>100</v>
      </c>
      <c r="E205" s="124">
        <f>0.033</f>
        <v>3.3000000000000002E-2</v>
      </c>
      <c r="F205" s="124">
        <f>41.14266</f>
        <v>41.142659999999999</v>
      </c>
      <c r="G205" s="124">
        <f>D205-F205</f>
        <v>58.857340000000001</v>
      </c>
      <c r="H205" s="124">
        <f>66.00023</f>
        <v>66.000230000000002</v>
      </c>
      <c r="I205" s="248"/>
      <c r="J205" s="120"/>
    </row>
    <row r="206" spans="1:10" ht="15.75" customHeight="1" x14ac:dyDescent="0.2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25">
      <c r="A207" s="1"/>
      <c r="B207" s="254"/>
      <c r="C207" s="179" t="s">
        <v>87</v>
      </c>
      <c r="D207" s="190">
        <f>SUM(D204:D206)</f>
        <v>46418</v>
      </c>
      <c r="E207" s="190">
        <f>SUM(E204:E206)</f>
        <v>3.3000000000000002E-2</v>
      </c>
      <c r="F207" s="190">
        <f>SUM(F204:F206)</f>
        <v>41852.390099999997</v>
      </c>
      <c r="G207" s="190">
        <f>D207-F207</f>
        <v>4565.6099000000031</v>
      </c>
      <c r="H207" s="190">
        <f>SUM(H204:H206)</f>
        <v>41303.749739999999</v>
      </c>
      <c r="I207" s="248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3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2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25">
      <c r="A249" s="1"/>
      <c r="B249" s="254"/>
      <c r="C249" s="90" t="s">
        <v>121</v>
      </c>
      <c r="D249" s="124">
        <v>3987</v>
      </c>
      <c r="E249" s="75">
        <f>E250+E251</f>
        <v>5.2531999999999996</v>
      </c>
      <c r="F249" s="75">
        <f>F250+F251</f>
        <v>4237.5210799999995</v>
      </c>
      <c r="G249" s="75">
        <f>D249-F249</f>
        <v>-250.52107999999953</v>
      </c>
      <c r="H249" s="75">
        <f>H250+H251</f>
        <v>4184.29943</v>
      </c>
      <c r="I249" s="248"/>
      <c r="J249" s="120"/>
    </row>
    <row r="250" spans="1:10" ht="15" customHeight="1" x14ac:dyDescent="0.25">
      <c r="A250" s="1"/>
      <c r="B250" s="254"/>
      <c r="C250" s="177" t="s">
        <v>8</v>
      </c>
      <c r="D250" s="124"/>
      <c r="E250" s="75">
        <f>0</f>
        <v>0</v>
      </c>
      <c r="F250" s="75">
        <f>3637.54861</f>
        <v>3637.5486099999998</v>
      </c>
      <c r="G250" s="75"/>
      <c r="H250" s="75">
        <f>3559.35576</f>
        <v>3559.3557599999999</v>
      </c>
      <c r="I250" s="248"/>
      <c r="J250" s="120"/>
    </row>
    <row r="251" spans="1:10" ht="15" customHeight="1" x14ac:dyDescent="0.25">
      <c r="A251" s="1"/>
      <c r="B251" s="254"/>
      <c r="C251" s="177" t="s">
        <v>67</v>
      </c>
      <c r="D251" s="124"/>
      <c r="E251" s="124">
        <f>5.2532</f>
        <v>5.2531999999999996</v>
      </c>
      <c r="F251" s="124">
        <f>599.97247</f>
        <v>599.97247000000004</v>
      </c>
      <c r="G251" s="168"/>
      <c r="H251" s="124">
        <f>624.94367</f>
        <v>624.94367</v>
      </c>
      <c r="I251" s="248"/>
      <c r="J251" s="120"/>
    </row>
    <row r="252" spans="1:10" ht="15" customHeight="1" x14ac:dyDescent="0.25">
      <c r="A252" s="1"/>
      <c r="B252" s="254"/>
      <c r="C252" s="90" t="s">
        <v>122</v>
      </c>
      <c r="D252" s="124">
        <v>4613</v>
      </c>
      <c r="E252" s="75">
        <f>31.0436</f>
        <v>31.043600000000001</v>
      </c>
      <c r="F252" s="75">
        <f>5370.27074</f>
        <v>5370.2707399999999</v>
      </c>
      <c r="G252" s="75">
        <f>D252-F252</f>
        <v>-757.27073999999993</v>
      </c>
      <c r="H252" s="75">
        <f>5307.20728</f>
        <v>5307.2072799999996</v>
      </c>
      <c r="I252" s="248"/>
      <c r="J252" s="120"/>
    </row>
    <row r="253" spans="1:10" ht="16.5" customHeight="1" x14ac:dyDescent="0.25">
      <c r="A253" s="1"/>
      <c r="B253" s="254"/>
      <c r="C253" s="179" t="s">
        <v>87</v>
      </c>
      <c r="D253" s="190">
        <f>D252+D249</f>
        <v>8600</v>
      </c>
      <c r="E253" s="190">
        <f>SUM(E249,E252)</f>
        <v>36.296800000000005</v>
      </c>
      <c r="F253" s="190">
        <f>SUM(F249,F252)</f>
        <v>9607.7918199999986</v>
      </c>
      <c r="G253" s="190">
        <f>D253-F253</f>
        <v>-1007.7918199999986</v>
      </c>
      <c r="H253" s="190">
        <f>SUM(H249,H252)</f>
        <v>9491.5067099999997</v>
      </c>
      <c r="I253" s="248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3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2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25">
      <c r="A295" s="1"/>
      <c r="B295" s="254"/>
      <c r="C295" s="90" t="s">
        <v>121</v>
      </c>
      <c r="D295" s="124">
        <v>5090</v>
      </c>
      <c r="E295" s="75">
        <f>E296+E297</f>
        <v>5.7756800000000004</v>
      </c>
      <c r="F295" s="75">
        <f>F296+F297</f>
        <v>5322.6512699999994</v>
      </c>
      <c r="G295" s="75">
        <f>D295-F295</f>
        <v>-232.65126999999939</v>
      </c>
      <c r="H295" s="75">
        <f>H296+H297</f>
        <v>6012.6822899999997</v>
      </c>
      <c r="I295" s="248"/>
      <c r="J295" s="120"/>
    </row>
    <row r="296" spans="1:10" ht="15" customHeight="1" x14ac:dyDescent="0.25">
      <c r="A296" s="1"/>
      <c r="B296" s="254"/>
      <c r="C296" s="177" t="s">
        <v>8</v>
      </c>
      <c r="D296" s="124"/>
      <c r="E296" s="75">
        <f>0.7896</f>
        <v>0.78959999999999997</v>
      </c>
      <c r="F296" s="75">
        <f>4832.0969</f>
        <v>4832.0968999999996</v>
      </c>
      <c r="G296" s="75"/>
      <c r="H296" s="75">
        <f>5506.54201</f>
        <v>5506.5420100000001</v>
      </c>
      <c r="I296" s="248"/>
      <c r="J296" s="120"/>
    </row>
    <row r="297" spans="1:10" ht="15" customHeight="1" x14ac:dyDescent="0.25">
      <c r="A297" s="1"/>
      <c r="B297" s="254"/>
      <c r="C297" s="177" t="s">
        <v>67</v>
      </c>
      <c r="D297" s="124"/>
      <c r="E297" s="124">
        <f>4.98608</f>
        <v>4.9860800000000003</v>
      </c>
      <c r="F297" s="124">
        <f>490.55437</f>
        <v>490.55437000000001</v>
      </c>
      <c r="G297" s="168"/>
      <c r="H297" s="124">
        <f>506.14028</f>
        <v>506.14028000000002</v>
      </c>
      <c r="I297" s="248"/>
      <c r="J297" s="120"/>
    </row>
    <row r="298" spans="1:10" ht="15" customHeight="1" x14ac:dyDescent="0.25">
      <c r="A298" s="1"/>
      <c r="B298" s="254"/>
      <c r="C298" s="90" t="s">
        <v>122</v>
      </c>
      <c r="D298" s="124">
        <v>2981</v>
      </c>
      <c r="E298" s="75">
        <f>95.39176</f>
        <v>95.391760000000005</v>
      </c>
      <c r="F298" s="75">
        <f>2921.98561</f>
        <v>2921.9856100000002</v>
      </c>
      <c r="G298" s="75">
        <f>D298-F298</f>
        <v>59.014389999999821</v>
      </c>
      <c r="H298" s="75">
        <f>3558.38366</f>
        <v>3558.38366</v>
      </c>
      <c r="I298" s="248"/>
      <c r="J298" s="120"/>
    </row>
    <row r="299" spans="1:10" ht="16.5" customHeight="1" x14ac:dyDescent="0.25">
      <c r="A299" s="1"/>
      <c r="B299" s="254"/>
      <c r="C299" s="179" t="s">
        <v>87</v>
      </c>
      <c r="D299" s="190">
        <f>D298+D295</f>
        <v>8071</v>
      </c>
      <c r="E299" s="190">
        <f>SUM(E295,E298)</f>
        <v>101.16744</v>
      </c>
      <c r="F299" s="190">
        <f>SUM(F295,F298)</f>
        <v>8244.63688</v>
      </c>
      <c r="G299" s="190">
        <f>D299-F299</f>
        <v>-173.63688000000002</v>
      </c>
      <c r="H299" s="190">
        <f>SUM(H295,H298)</f>
        <v>9571.0659500000002</v>
      </c>
      <c r="I299" s="248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2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2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" customHeight="1" x14ac:dyDescent="0.2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" customHeight="1" x14ac:dyDescent="0.2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2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2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" customHeight="1" x14ac:dyDescent="0.2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2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3.53151</f>
        <v>3.5315099999999999</v>
      </c>
      <c r="F350" s="124">
        <f>606.81092</f>
        <v>606.81092000000001</v>
      </c>
      <c r="G350" s="124">
        <f>D350-F350</f>
        <v>193.18907999999999</v>
      </c>
      <c r="H350" s="124">
        <f>549.79707</f>
        <v>549.79706999999996</v>
      </c>
      <c r="I350" s="67"/>
      <c r="J350" s="244"/>
    </row>
    <row r="351" spans="1:10" ht="14.1" customHeight="1" x14ac:dyDescent="0.25">
      <c r="A351" s="1"/>
      <c r="B351" s="254"/>
      <c r="C351" s="90" t="s">
        <v>94</v>
      </c>
      <c r="D351" s="246">
        <v>3041</v>
      </c>
      <c r="E351" s="124">
        <f>6.99511</f>
        <v>6.9951100000000004</v>
      </c>
      <c r="F351" s="124">
        <f>2308.07208</f>
        <v>2308.0720799999999</v>
      </c>
      <c r="G351" s="124">
        <f>D351-F351</f>
        <v>732.92792000000009</v>
      </c>
      <c r="H351" s="124">
        <f>2695.36528</f>
        <v>2695.36528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9"/>
    </row>
    <row r="353" spans="1:10" ht="18.75" customHeight="1" x14ac:dyDescent="0.25">
      <c r="A353" s="67"/>
      <c r="B353" s="250"/>
      <c r="C353" s="146" t="s">
        <v>95</v>
      </c>
      <c r="D353" s="222"/>
      <c r="E353" s="168">
        <f>0</f>
        <v>0</v>
      </c>
      <c r="F353" s="168">
        <f>0.248</f>
        <v>0.248</v>
      </c>
      <c r="G353" s="124">
        <f>D353-F353</f>
        <v>-0.248</v>
      </c>
      <c r="H353" s="168">
        <f>1.78973</f>
        <v>1.78973</v>
      </c>
      <c r="I353" s="284"/>
      <c r="J353" s="120"/>
    </row>
    <row r="354" spans="1:10" ht="14.1" customHeight="1" x14ac:dyDescent="0.25">
      <c r="A354" s="1"/>
      <c r="B354" s="254"/>
      <c r="C354" s="179" t="s">
        <v>87</v>
      </c>
      <c r="D354" s="6">
        <f>D339</f>
        <v>3851</v>
      </c>
      <c r="E354" s="190">
        <f>SUM(E350:E353)</f>
        <v>10.526620000000001</v>
      </c>
      <c r="F354" s="190">
        <f>SUM(F350:F353)</f>
        <v>2918.74062</v>
      </c>
      <c r="G354" s="190">
        <f>D354-F354</f>
        <v>932.25937999999996</v>
      </c>
      <c r="H354" s="190">
        <f>H350+H351+H352+H353</f>
        <v>3249.6908199999998</v>
      </c>
      <c r="I354" s="1"/>
      <c r="J354" s="120"/>
    </row>
    <row r="355" spans="1:10" ht="14.1" customHeight="1" x14ac:dyDescent="0.2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113</v>
      </c>
    </row>
    <row r="358" spans="1:10" ht="14.1" customHeight="1" x14ac:dyDescent="0.25">
      <c r="A358" s="1" t="s">
        <v>113</v>
      </c>
    </row>
    <row r="359" spans="1:10" ht="14.1" customHeight="1" x14ac:dyDescent="0.25">
      <c r="A359" s="1" t="s">
        <v>113</v>
      </c>
    </row>
    <row r="360" spans="1:10" ht="14.1" customHeight="1" x14ac:dyDescent="0.25">
      <c r="A360" s="1"/>
      <c r="C360" s="150" t="s">
        <v>113</v>
      </c>
    </row>
    <row r="361" spans="1:10" x14ac:dyDescent="0.25">
      <c r="A361" s="1"/>
      <c r="C361" s="150" t="s">
        <v>113</v>
      </c>
    </row>
    <row r="362" spans="1:10" ht="14.1" customHeight="1" x14ac:dyDescent="0.25">
      <c r="A362" s="1"/>
      <c r="C362" s="150" t="s">
        <v>113</v>
      </c>
    </row>
    <row r="363" spans="1:10" ht="14.1" customHeight="1" x14ac:dyDescent="0.25">
      <c r="A363" s="1"/>
      <c r="C363" s="150" t="s">
        <v>113</v>
      </c>
    </row>
    <row r="364" spans="1:10" ht="30" customHeight="1" x14ac:dyDescent="0.3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35" customHeight="1" x14ac:dyDescent="0.2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2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2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" customHeight="1" x14ac:dyDescent="0.2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123.13311</v>
      </c>
      <c r="G380" s="253">
        <f t="shared" si="17"/>
        <v>18524.42049</v>
      </c>
      <c r="H380" s="253">
        <f>H384+H383+H382+H381</f>
        <v>4444.5795099999996</v>
      </c>
      <c r="I380" s="253">
        <f t="shared" si="17"/>
        <v>16377.41606</v>
      </c>
      <c r="J380" s="130"/>
    </row>
    <row r="381" spans="1:10" ht="14.1" customHeight="1" x14ac:dyDescent="0.25">
      <c r="A381" s="218"/>
      <c r="B381" s="72"/>
      <c r="C381" s="255" t="s">
        <v>103</v>
      </c>
      <c r="D381" s="256">
        <v>12051</v>
      </c>
      <c r="E381" s="256">
        <v>13190</v>
      </c>
      <c r="F381" s="257">
        <f>101.63475</f>
        <v>101.63475</v>
      </c>
      <c r="G381" s="257">
        <f>12122.53594</f>
        <v>12122.53594</v>
      </c>
      <c r="H381" s="257">
        <f t="shared" ref="H381:H385" si="18">E381-G381</f>
        <v>1067.4640600000002</v>
      </c>
      <c r="I381" s="257">
        <f>9979.32829</f>
        <v>9979.3282899999995</v>
      </c>
      <c r="J381" s="130"/>
    </row>
    <row r="382" spans="1:10" ht="14.1" customHeight="1" x14ac:dyDescent="0.2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1998.07392</f>
        <v>1998.07392</v>
      </c>
      <c r="H382" s="257">
        <f t="shared" si="18"/>
        <v>1434.92608</v>
      </c>
      <c r="I382" s="257">
        <f>1409.99535</f>
        <v>1409.9953499999999</v>
      </c>
      <c r="J382" s="130"/>
    </row>
    <row r="383" spans="1:10" ht="14.1" customHeight="1" x14ac:dyDescent="0.25">
      <c r="A383" s="218"/>
      <c r="B383" s="72"/>
      <c r="C383" s="260" t="s">
        <v>100</v>
      </c>
      <c r="D383" s="256">
        <v>1454</v>
      </c>
      <c r="E383" s="256">
        <v>1483</v>
      </c>
      <c r="F383" s="257">
        <f>19.39836</f>
        <v>19.39836</v>
      </c>
      <c r="G383" s="257">
        <f>1947.81537</f>
        <v>1947.81537</v>
      </c>
      <c r="H383" s="257">
        <f t="shared" si="18"/>
        <v>-464.81537000000003</v>
      </c>
      <c r="I383" s="257">
        <f>1889.06172</f>
        <v>1889.0617199999999</v>
      </c>
      <c r="J383" s="130"/>
    </row>
    <row r="384" spans="1:10" ht="14.1" customHeight="1" x14ac:dyDescent="0.25">
      <c r="A384" s="218"/>
      <c r="B384" s="72"/>
      <c r="C384" s="262" t="s">
        <v>141</v>
      </c>
      <c r="D384" s="263">
        <v>4867</v>
      </c>
      <c r="E384" s="263">
        <v>4863</v>
      </c>
      <c r="F384" s="257">
        <f>2.1</f>
        <v>2.1</v>
      </c>
      <c r="G384" s="257">
        <f>2455.99526</f>
        <v>2455.9952600000001</v>
      </c>
      <c r="H384" s="257">
        <f t="shared" si="18"/>
        <v>2407.0047399999999</v>
      </c>
      <c r="I384" s="257">
        <f>3099.0307</f>
        <v>3099.0306999999998</v>
      </c>
      <c r="J384" s="130"/>
    </row>
    <row r="385" spans="1:10" ht="14.1" customHeight="1" x14ac:dyDescent="0.25">
      <c r="A385" s="218"/>
      <c r="B385" s="72"/>
      <c r="C385" s="265" t="s">
        <v>59</v>
      </c>
      <c r="D385" s="266">
        <v>5500</v>
      </c>
      <c r="E385" s="266">
        <v>5500</v>
      </c>
      <c r="F385" s="268">
        <f>0.366</f>
        <v>0.36599999999999999</v>
      </c>
      <c r="G385" s="268">
        <f>2162.02778</f>
        <v>2162.0277799999999</v>
      </c>
      <c r="H385" s="268">
        <f t="shared" si="18"/>
        <v>3337.9722200000001</v>
      </c>
      <c r="I385" s="268">
        <f>5111.96628</f>
        <v>5111.9662799999996</v>
      </c>
      <c r="J385" s="130"/>
    </row>
    <row r="386" spans="1:10" ht="14.1" customHeight="1" x14ac:dyDescent="0.2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14.07117</v>
      </c>
      <c r="G386" s="269">
        <f>G388+G387</f>
        <v>3886.1292899999999</v>
      </c>
      <c r="H386" s="269">
        <f>E386-G386</f>
        <v>4113.8707100000001</v>
      </c>
      <c r="I386" s="269">
        <f>I388+I387</f>
        <v>4222.0189799999998</v>
      </c>
      <c r="J386" s="130"/>
    </row>
    <row r="387" spans="1:10" ht="14.1" customHeight="1" x14ac:dyDescent="0.25">
      <c r="A387" s="218"/>
      <c r="B387" s="72"/>
      <c r="C387" s="260" t="s">
        <v>53</v>
      </c>
      <c r="D387" s="271"/>
      <c r="E387" s="256"/>
      <c r="F387" s="257">
        <f>0</f>
        <v>0</v>
      </c>
      <c r="G387" s="257">
        <f>1038.47499</f>
        <v>1038.4749899999999</v>
      </c>
      <c r="H387" s="257"/>
      <c r="I387" s="257">
        <f>862.46423</f>
        <v>862.46423000000004</v>
      </c>
      <c r="J387" s="130"/>
    </row>
    <row r="388" spans="1:10" ht="14.1" customHeight="1" x14ac:dyDescent="0.25">
      <c r="A388" s="218"/>
      <c r="B388" s="72"/>
      <c r="C388" s="273" t="s">
        <v>104</v>
      </c>
      <c r="D388" s="274"/>
      <c r="E388" s="277"/>
      <c r="F388" s="278">
        <f>14.07117</f>
        <v>14.07117</v>
      </c>
      <c r="G388" s="278">
        <f>2847.6543</f>
        <v>2847.6543000000001</v>
      </c>
      <c r="H388" s="278"/>
      <c r="I388" s="278">
        <f>3359.55475</f>
        <v>3359.5547499999998</v>
      </c>
      <c r="J388" s="130"/>
    </row>
    <row r="389" spans="1:10" ht="14.1" customHeight="1" x14ac:dyDescent="0.2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0.1484</f>
        <v>0.1484</v>
      </c>
      <c r="H389" s="268">
        <f>E389-G389</f>
        <v>12.851599999999999</v>
      </c>
      <c r="I389" s="268">
        <f>0.7485</f>
        <v>0.74850000000000005</v>
      </c>
      <c r="J389" s="130"/>
    </row>
    <row r="390" spans="1:10" ht="14.1" customHeight="1" x14ac:dyDescent="0.25">
      <c r="A390" s="218"/>
      <c r="B390" s="72"/>
      <c r="C390" s="279" t="s">
        <v>105</v>
      </c>
      <c r="D390" s="282"/>
      <c r="E390" s="283"/>
      <c r="F390" s="268">
        <f>0.4512</f>
        <v>0.45119999999999999</v>
      </c>
      <c r="G390" s="268">
        <f>106.8834</f>
        <v>106.88339999999999</v>
      </c>
      <c r="H390" s="268">
        <f>E390-G390</f>
        <v>-106.88339999999999</v>
      </c>
      <c r="I390" s="268">
        <f>117.65005</f>
        <v>117.65004999999999</v>
      </c>
      <c r="J390" s="130"/>
    </row>
    <row r="391" spans="1:10" ht="19.5" customHeight="1" x14ac:dyDescent="0.2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138.02148</v>
      </c>
      <c r="G391" s="287">
        <f t="shared" si="19"/>
        <v>24679.609359999999</v>
      </c>
      <c r="H391" s="287">
        <f>H380+H385+H386+H389+H390</f>
        <v>11802.390639999998</v>
      </c>
      <c r="I391" s="287">
        <f t="shared" si="19"/>
        <v>25829.799870000003</v>
      </c>
      <c r="J391" s="130"/>
    </row>
    <row r="392" spans="1:10" ht="14.1" customHeight="1" x14ac:dyDescent="0.2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" customHeight="1" x14ac:dyDescent="0.2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" customHeight="1" x14ac:dyDescent="0.2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2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8"/>
      <c r="C398" s="150" t="s">
        <v>113</v>
      </c>
      <c r="D398" s="156"/>
    </row>
    <row r="399" spans="1:10" ht="14.1" customHeight="1" x14ac:dyDescent="0.2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" customHeight="1" x14ac:dyDescent="0.2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" customHeight="1" x14ac:dyDescent="0.2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8"/>
      <c r="B407" s="72"/>
      <c r="C407" s="301" t="s">
        <v>138</v>
      </c>
      <c r="D407" s="301"/>
      <c r="E407" s="301"/>
      <c r="F407" s="301"/>
      <c r="G407" s="214"/>
      <c r="H407" s="214"/>
      <c r="I407" s="150"/>
      <c r="J407" s="130"/>
    </row>
    <row r="408" spans="1:10" ht="14.1" customHeight="1" x14ac:dyDescent="0.2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" customHeight="1" x14ac:dyDescent="0.2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2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" customHeight="1" x14ac:dyDescent="0.25">
      <c r="A413" s="218"/>
      <c r="B413" s="72"/>
      <c r="C413" s="265" t="s">
        <v>110</v>
      </c>
      <c r="D413" s="204">
        <v>894</v>
      </c>
      <c r="E413" s="26">
        <f>SUM(E414:E415)</f>
        <v>30.240000000000002</v>
      </c>
      <c r="F413" s="26">
        <f>SUM(F414:F415)</f>
        <v>956.17108000000007</v>
      </c>
      <c r="G413" s="85">
        <f>D413-F413</f>
        <v>-62.171080000000075</v>
      </c>
      <c r="H413" s="26">
        <f>SUM(H414:H415)</f>
        <v>979.24793</v>
      </c>
      <c r="I413" s="27"/>
      <c r="J413" s="130"/>
    </row>
    <row r="414" spans="1:10" ht="14.1" customHeight="1" x14ac:dyDescent="0.25">
      <c r="A414" s="218"/>
      <c r="B414" s="72"/>
      <c r="C414" s="29" t="s">
        <v>8</v>
      </c>
      <c r="E414" s="205">
        <f>26.9905</f>
        <v>26.990500000000001</v>
      </c>
      <c r="F414" s="205">
        <f>724.62008</f>
        <v>724.62008000000003</v>
      </c>
      <c r="G414" s="206"/>
      <c r="H414" s="205">
        <f>746.88623</f>
        <v>746.88622999999995</v>
      </c>
      <c r="I414" s="150"/>
      <c r="J414" s="130"/>
    </row>
    <row r="415" spans="1:10" ht="14.1" customHeight="1" x14ac:dyDescent="0.25">
      <c r="A415" s="218"/>
      <c r="B415" s="72"/>
      <c r="C415" s="29" t="s">
        <v>11</v>
      </c>
      <c r="D415" s="207"/>
      <c r="E415" s="208">
        <f>3.2495</f>
        <v>3.2494999999999998</v>
      </c>
      <c r="F415" s="208">
        <f>231.551</f>
        <v>231.55099999999999</v>
      </c>
      <c r="G415" s="209"/>
      <c r="H415" s="208">
        <f>232.3617</f>
        <v>232.36170000000001</v>
      </c>
      <c r="I415" s="150"/>
      <c r="J415" s="130"/>
    </row>
    <row r="416" spans="1:10" ht="14.1" customHeight="1" x14ac:dyDescent="0.25">
      <c r="A416" s="218"/>
      <c r="B416" s="72"/>
      <c r="C416" s="265" t="s">
        <v>111</v>
      </c>
      <c r="D416" s="10">
        <v>894</v>
      </c>
      <c r="E416" s="26">
        <f>SUM(E417:E418)</f>
        <v>0</v>
      </c>
      <c r="F416" s="26">
        <f>SUM(F417:F418)</f>
        <v>0</v>
      </c>
      <c r="G416" s="85">
        <f>D416-F416</f>
        <v>894</v>
      </c>
      <c r="H416" s="26">
        <f>SUM(H417:H418)</f>
        <v>0</v>
      </c>
      <c r="I416" s="27"/>
      <c r="J416" s="130"/>
    </row>
    <row r="417" spans="1:10" ht="14.1" customHeight="1" x14ac:dyDescent="0.25">
      <c r="A417" s="218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" customHeight="1" x14ac:dyDescent="0.25">
      <c r="A418" s="218"/>
      <c r="B418" s="72"/>
      <c r="C418" s="29" t="s">
        <v>11</v>
      </c>
      <c r="D418" s="221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" customHeight="1" x14ac:dyDescent="0.2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" customHeight="1" x14ac:dyDescent="0.2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30.240000000000002</v>
      </c>
      <c r="F423" s="40">
        <f>F413+F416+F419+F422</f>
        <v>956.17108000000007</v>
      </c>
      <c r="G423" s="41">
        <f>D423-F423</f>
        <v>1724.8289199999999</v>
      </c>
      <c r="H423" s="40">
        <f>H413+H416+H419+H422</f>
        <v>979.24793</v>
      </c>
      <c r="I423" s="27"/>
      <c r="J423" s="130"/>
    </row>
    <row r="424" spans="1:10" ht="42" customHeight="1" x14ac:dyDescent="0.25">
      <c r="A424" s="218"/>
      <c r="B424" s="72"/>
      <c r="C424" s="292" t="s">
        <v>117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5">
    <mergeCell ref="C17:H17"/>
    <mergeCell ref="B2:J2"/>
    <mergeCell ref="B9:J9"/>
    <mergeCell ref="C11:D11"/>
    <mergeCell ref="E11:F11"/>
    <mergeCell ref="G11:H11"/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43&amp;R28.10.2024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Lars Krogstad</cp:lastModifiedBy>
  <cp:lastPrinted>2022-11-14T12:51:47Z</cp:lastPrinted>
  <dcterms:created xsi:type="dcterms:W3CDTF">2022-08-01T13:23:35Z</dcterms:created>
  <dcterms:modified xsi:type="dcterms:W3CDTF">2024-10-28T09:21:08Z</dcterms:modified>
</cp:coreProperties>
</file>