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Script\excel\output\2023\"/>
    </mc:Choice>
  </mc:AlternateContent>
  <xr:revisionPtr revIDLastSave="0" documentId="13_ncr:1_{0D31BD63-FC68-4080-B084-E8B6963053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D331" i="1"/>
  <c r="H329" i="1"/>
  <c r="F329" i="1"/>
  <c r="E329" i="1"/>
  <c r="H328" i="1"/>
  <c r="F328" i="1"/>
  <c r="F327" i="1" s="1"/>
  <c r="G327" i="1" s="1"/>
  <c r="E328" i="1"/>
  <c r="H326" i="1"/>
  <c r="F326" i="1"/>
  <c r="E326" i="1"/>
  <c r="E324" i="1" s="1"/>
  <c r="H325" i="1"/>
  <c r="F325" i="1"/>
  <c r="F324" i="1" s="1"/>
  <c r="G324" i="1" s="1"/>
  <c r="E325" i="1"/>
  <c r="H323" i="1"/>
  <c r="F323" i="1"/>
  <c r="F321" i="1" s="1"/>
  <c r="G321" i="1" s="1"/>
  <c r="E323" i="1"/>
  <c r="E321" i="1" s="1"/>
  <c r="H322" i="1"/>
  <c r="H321" i="1" s="1"/>
  <c r="F322" i="1"/>
  <c r="E322" i="1"/>
  <c r="I298" i="1"/>
  <c r="H298" i="1"/>
  <c r="G298" i="1"/>
  <c r="F298" i="1"/>
  <c r="I297" i="1"/>
  <c r="G297" i="1"/>
  <c r="H297" i="1" s="1"/>
  <c r="F297" i="1"/>
  <c r="I296" i="1"/>
  <c r="I294" i="1" s="1"/>
  <c r="G296" i="1"/>
  <c r="G294" i="1" s="1"/>
  <c r="H294" i="1" s="1"/>
  <c r="F296" i="1"/>
  <c r="F294" i="1" s="1"/>
  <c r="I295" i="1"/>
  <c r="G295" i="1"/>
  <c r="F295" i="1"/>
  <c r="I293" i="1"/>
  <c r="G293" i="1"/>
  <c r="H293" i="1" s="1"/>
  <c r="F293" i="1"/>
  <c r="I292" i="1"/>
  <c r="I288" i="1" s="1"/>
  <c r="G292" i="1"/>
  <c r="H292" i="1" s="1"/>
  <c r="F292" i="1"/>
  <c r="F288" i="1" s="1"/>
  <c r="I291" i="1"/>
  <c r="G291" i="1"/>
  <c r="H291" i="1" s="1"/>
  <c r="F291" i="1"/>
  <c r="I290" i="1"/>
  <c r="G290" i="1"/>
  <c r="H290" i="1" s="1"/>
  <c r="F290" i="1"/>
  <c r="I289" i="1"/>
  <c r="G289" i="1"/>
  <c r="H289" i="1" s="1"/>
  <c r="F289" i="1"/>
  <c r="G288" i="1"/>
  <c r="E288" i="1"/>
  <c r="E299" i="1" s="1"/>
  <c r="D288" i="1"/>
  <c r="D299" i="1" s="1"/>
  <c r="H280" i="1"/>
  <c r="F280" i="1"/>
  <c r="D262" i="1"/>
  <c r="H261" i="1"/>
  <c r="F261" i="1"/>
  <c r="E261" i="1"/>
  <c r="H260" i="1"/>
  <c r="F260" i="1"/>
  <c r="G260" i="1" s="1"/>
  <c r="E260" i="1"/>
  <c r="H259" i="1"/>
  <c r="F259" i="1"/>
  <c r="G259" i="1" s="1"/>
  <c r="E259" i="1"/>
  <c r="H258" i="1"/>
  <c r="F258" i="1"/>
  <c r="G258" i="1" s="1"/>
  <c r="E258" i="1"/>
  <c r="D251" i="1"/>
  <c r="D207" i="1"/>
  <c r="G207" i="1" s="1"/>
  <c r="G206" i="1"/>
  <c r="H205" i="1"/>
  <c r="H207" i="1" s="1"/>
  <c r="F205" i="1"/>
  <c r="G205" i="1" s="1"/>
  <c r="E205" i="1"/>
  <c r="H204" i="1"/>
  <c r="G204" i="1"/>
  <c r="F204" i="1"/>
  <c r="F207" i="1" s="1"/>
  <c r="E204" i="1"/>
  <c r="E207" i="1" s="1"/>
  <c r="D184" i="1"/>
  <c r="H182" i="1"/>
  <c r="F182" i="1"/>
  <c r="G182" i="1" s="1"/>
  <c r="E182" i="1"/>
  <c r="H181" i="1"/>
  <c r="F181" i="1"/>
  <c r="E181" i="1"/>
  <c r="H180" i="1"/>
  <c r="F180" i="1"/>
  <c r="E180" i="1"/>
  <c r="H179" i="1"/>
  <c r="F179" i="1"/>
  <c r="E179" i="1"/>
  <c r="E178" i="1" s="1"/>
  <c r="H177" i="1"/>
  <c r="F177" i="1"/>
  <c r="G177" i="1" s="1"/>
  <c r="E177" i="1"/>
  <c r="H176" i="1"/>
  <c r="F176" i="1"/>
  <c r="E176" i="1"/>
  <c r="H175" i="1"/>
  <c r="F175" i="1"/>
  <c r="G175" i="1" s="1"/>
  <c r="E175" i="1"/>
  <c r="D150" i="1"/>
  <c r="H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H141" i="1"/>
  <c r="G141" i="1"/>
  <c r="F141" i="1"/>
  <c r="I140" i="1"/>
  <c r="I139" i="1" s="1"/>
  <c r="G140" i="1"/>
  <c r="H140" i="1" s="1"/>
  <c r="F140" i="1"/>
  <c r="E139" i="1"/>
  <c r="I138" i="1"/>
  <c r="H138" i="1"/>
  <c r="F138" i="1"/>
  <c r="I137" i="1"/>
  <c r="H137" i="1"/>
  <c r="F137" i="1"/>
  <c r="I136" i="1"/>
  <c r="I134" i="1" s="1"/>
  <c r="I133" i="1" s="1"/>
  <c r="H136" i="1"/>
  <c r="F136" i="1"/>
  <c r="I135" i="1"/>
  <c r="H135" i="1"/>
  <c r="F135" i="1"/>
  <c r="E134" i="1"/>
  <c r="I132" i="1"/>
  <c r="H132" i="1"/>
  <c r="F132" i="1"/>
  <c r="H131" i="1"/>
  <c r="I130" i="1"/>
  <c r="G130" i="1"/>
  <c r="H130" i="1" s="1"/>
  <c r="F130" i="1"/>
  <c r="I129" i="1"/>
  <c r="H129" i="1"/>
  <c r="G129" i="1"/>
  <c r="F129" i="1"/>
  <c r="F128" i="1" s="1"/>
  <c r="G128" i="1"/>
  <c r="E128" i="1"/>
  <c r="C126" i="1"/>
  <c r="H106" i="1"/>
  <c r="H105" i="1"/>
  <c r="H104" i="1"/>
  <c r="F104" i="1"/>
  <c r="I103" i="1"/>
  <c r="G103" i="1"/>
  <c r="H103" i="1" s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I97" i="1"/>
  <c r="G97" i="1"/>
  <c r="H97" i="1" s="1"/>
  <c r="F97" i="1"/>
  <c r="E96" i="1"/>
  <c r="D96" i="1"/>
  <c r="D95" i="1" s="1"/>
  <c r="D107" i="1" s="1"/>
  <c r="E95" i="1"/>
  <c r="E107" i="1" s="1"/>
  <c r="I94" i="1"/>
  <c r="G94" i="1"/>
  <c r="H94" i="1" s="1"/>
  <c r="F94" i="1"/>
  <c r="F92" i="1" s="1"/>
  <c r="I93" i="1"/>
  <c r="G93" i="1"/>
  <c r="F93" i="1"/>
  <c r="I92" i="1"/>
  <c r="E92" i="1"/>
  <c r="C89" i="1"/>
  <c r="H85" i="1"/>
  <c r="F85" i="1"/>
  <c r="D85" i="1"/>
  <c r="G61" i="1"/>
  <c r="G60" i="1"/>
  <c r="H55" i="1"/>
  <c r="F55" i="1"/>
  <c r="G55" i="1" s="1"/>
  <c r="E55" i="1"/>
  <c r="F32" i="1" s="1"/>
  <c r="E44" i="1"/>
  <c r="D44" i="1"/>
  <c r="H43" i="1"/>
  <c r="H42" i="1"/>
  <c r="H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F34" i="1" s="1"/>
  <c r="I35" i="1"/>
  <c r="G35" i="1"/>
  <c r="F35" i="1"/>
  <c r="I33" i="1"/>
  <c r="G33" i="1"/>
  <c r="H33" i="1" s="1"/>
  <c r="F33" i="1"/>
  <c r="I32" i="1"/>
  <c r="I31" i="1"/>
  <c r="G31" i="1"/>
  <c r="H31" i="1" s="1"/>
  <c r="F31" i="1"/>
  <c r="I30" i="1"/>
  <c r="G30" i="1"/>
  <c r="H30" i="1" s="1"/>
  <c r="F30" i="1"/>
  <c r="I29" i="1"/>
  <c r="G29" i="1"/>
  <c r="F29" i="1"/>
  <c r="I28" i="1"/>
  <c r="H28" i="1"/>
  <c r="G28" i="1"/>
  <c r="F28" i="1"/>
  <c r="I25" i="1"/>
  <c r="G25" i="1"/>
  <c r="H25" i="1" s="1"/>
  <c r="F25" i="1"/>
  <c r="I24" i="1"/>
  <c r="G24" i="1"/>
  <c r="G23" i="1" s="1"/>
  <c r="F24" i="1"/>
  <c r="F23" i="1" s="1"/>
  <c r="H16" i="1"/>
  <c r="F16" i="1"/>
  <c r="D16" i="1"/>
  <c r="I34" i="1" l="1"/>
  <c r="G331" i="1"/>
  <c r="F107" i="1"/>
  <c r="F299" i="1"/>
  <c r="H24" i="1"/>
  <c r="H134" i="1"/>
  <c r="H133" i="1" s="1"/>
  <c r="I23" i="1"/>
  <c r="G134" i="1"/>
  <c r="E133" i="1"/>
  <c r="E150" i="1" s="1"/>
  <c r="G96" i="1"/>
  <c r="G95" i="1" s="1"/>
  <c r="F139" i="1"/>
  <c r="F133" i="1" s="1"/>
  <c r="F150" i="1" s="1"/>
  <c r="E184" i="1"/>
  <c r="E327" i="1"/>
  <c r="I27" i="1"/>
  <c r="I26" i="1" s="1"/>
  <c r="I44" i="1" s="1"/>
  <c r="G92" i="1"/>
  <c r="G107" i="1" s="1"/>
  <c r="H23" i="1"/>
  <c r="G32" i="1"/>
  <c r="H32" i="1" s="1"/>
  <c r="F96" i="1"/>
  <c r="F95" i="1" s="1"/>
  <c r="I128" i="1"/>
  <c r="I150" i="1" s="1"/>
  <c r="F134" i="1"/>
  <c r="H139" i="1"/>
  <c r="E262" i="1"/>
  <c r="H327" i="1"/>
  <c r="F27" i="1"/>
  <c r="F26" i="1" s="1"/>
  <c r="F44" i="1" s="1"/>
  <c r="F178" i="1"/>
  <c r="G178" i="1" s="1"/>
  <c r="I299" i="1"/>
  <c r="I96" i="1"/>
  <c r="I95" i="1" s="1"/>
  <c r="I107" i="1" s="1"/>
  <c r="H178" i="1"/>
  <c r="H262" i="1"/>
  <c r="H324" i="1"/>
  <c r="H331" i="1" s="1"/>
  <c r="G34" i="1"/>
  <c r="H34" i="1" s="1"/>
  <c r="E331" i="1"/>
  <c r="H184" i="1"/>
  <c r="H288" i="1"/>
  <c r="H299" i="1" s="1"/>
  <c r="H96" i="1"/>
  <c r="H95" i="1" s="1"/>
  <c r="H27" i="1"/>
  <c r="H128" i="1"/>
  <c r="G299" i="1"/>
  <c r="H29" i="1"/>
  <c r="H35" i="1"/>
  <c r="H93" i="1"/>
  <c r="H92" i="1" s="1"/>
  <c r="G139" i="1"/>
  <c r="F184" i="1"/>
  <c r="G184" i="1" s="1"/>
  <c r="F331" i="1"/>
  <c r="F262" i="1"/>
  <c r="G262" i="1" s="1"/>
  <c r="G133" i="1" l="1"/>
  <c r="G150" i="1" s="1"/>
  <c r="H107" i="1"/>
  <c r="G27" i="1"/>
  <c r="G26" i="1" s="1"/>
  <c r="G44" i="1" s="1"/>
  <c r="H150" i="1"/>
  <c r="H26" i="1"/>
  <c r="H44" i="1" s="1"/>
</calcChain>
</file>

<file path=xl/sharedStrings.xml><?xml version="1.0" encoding="utf-8"?>
<sst xmlns="http://schemas.openxmlformats.org/spreadsheetml/2006/main" count="330" uniqueCount="148">
  <si>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</si>
  <si>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</si>
  <si>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</si>
  <si>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</si>
  <si>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</si>
  <si>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</si>
  <si>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</si>
  <si>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</si>
  <si>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</si>
  <si>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</si>
  <si>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</si>
  <si>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</si>
  <si>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</si>
  <si>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</si>
  <si>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</si>
  <si>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</si>
  <si>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</si>
  <si>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</si>
  <si>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</si>
  <si>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</si>
  <si>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</si>
  <si>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</si>
  <si>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</si>
  <si>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</si>
  <si>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</si>
  <si>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</si>
  <si>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</si>
  <si>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</si>
  <si>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</si>
  <si>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</si>
  <si>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</si>
  <si>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</si>
  <si>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</si>
  <si>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</si>
  <si>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</si>
  <si>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</si>
  <si>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</si>
  <si>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</si>
  <si>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</si>
  <si>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</si>
  <si>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</si>
  <si>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</si>
  <si>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</si>
  <si>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</si>
  <si>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</si>
  <si>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</si>
  <si>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</si>
  <si>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</si>
  <si>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</si>
  <si>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</si>
  <si>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</si>
  <si>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</si>
  <si>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</si>
  <si>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</si>
  <si>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</si>
  <si>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</si>
  <si>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</si>
  <si>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</si>
  <si>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</si>
  <si>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</si>
  <si>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</si>
  <si>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</si>
  <si>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</si>
  <si>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</si>
  <si>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</si>
  <si>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</si>
  <si>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</si>
  <si>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</si>
  <si>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</si>
  <si>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</si>
  <si>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</si>
  <si>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</si>
  <si>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</si>
  <si>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</si>
  <si>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</si>
  <si>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</si>
  <si>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</si>
  <si>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</si>
  <si>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</si>
  <si>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</si>
  <si>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</si>
  <si>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</si>
  <si>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</si>
  <si>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</si>
  <si>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</si>
  <si>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</si>
  <si>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</si>
  <si>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</si>
  <si>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</si>
  <si>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</si>
  <si>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</si>
  <si>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</si>
  <si>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</si>
  <si>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</si>
  <si>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</si>
  <si>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</si>
  <si>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</si>
  <si>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</si>
  <si>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</si>
  <si>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</si>
  <si>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</si>
  <si>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</si>
  <si>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</si>
  <si>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</si>
  <si>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</si>
  <si>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</si>
  <si>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</si>
  <si>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</si>
  <si>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</si>
  <si>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</si>
  <si>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</si>
  <si>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</si>
  <si>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</si>
  <si>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</si>
  <si>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</si>
  <si>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</si>
  <si>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</si>
  <si>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</si>
  <si>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</si>
  <si>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</si>
  <si>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</si>
  <si>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</si>
  <si>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</si>
  <si>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</si>
  <si>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</si>
  <si>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</si>
  <si>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</si>
  <si>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</si>
  <si>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</si>
  <si>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</si>
  <si>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</si>
  <si>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</si>
  <si>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</si>
  <si>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</si>
  <si>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</si>
  <si>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</si>
  <si>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</si>
  <si>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</si>
  <si>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</si>
  <si>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</si>
  <si>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FANGST UKE 15</t>
  </si>
  <si>
    <t>FANGST T.O.M UKE 15</t>
  </si>
  <si>
    <t>RESTKVOTER UKE 15</t>
  </si>
  <si>
    <t>FANGST T.O.M UKE 15 2022</t>
  </si>
  <si>
    <r>
      <t xml:space="preserve">3 </t>
    </r>
    <r>
      <rPr>
        <sz val="9"/>
        <color indexed="8"/>
        <rFont val="Calibri"/>
        <family val="2"/>
      </rPr>
      <t>Registrert rekreasjonsfiske utgjør 394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</si>
  <si>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35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</si>
  <si>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150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</si>
  <si>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1 113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</si>
</sst>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topLeftCell="A12" zoomScale="85" zoomScaleNormal="85" zoomScaleSheetLayoutView="100" zoomScalePageLayoutView="85" workbookViewId="0">
      <selection activeCell="G22" sqref="G22"/>
    </sheetView>
  </sheetViews>
  <sheetFormatPr defaultColWidth="10.6640625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297" t="s">
        <v>137</v>
      </c>
      <c r="C2" s="298"/>
      <c r="D2" s="298"/>
      <c r="E2" s="298"/>
      <c r="F2" s="298"/>
      <c r="G2" s="298"/>
      <c r="H2" s="298"/>
      <c r="I2" s="298"/>
      <c r="J2" s="299"/>
    </row>
    <row r="3" spans="1:10" ht="14.9" customHeight="1" x14ac:dyDescent="0.3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3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5" customHeight="1" x14ac:dyDescent="0.3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5" customHeight="1" x14ac:dyDescent="0.3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3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3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3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5" customHeight="1" x14ac:dyDescent="0.3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35">
      <c r="A17" s="101"/>
      <c r="B17" s="24"/>
      <c r="C17" s="101" t="s">
        <v>138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3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3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3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3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3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140</v>
      </c>
      <c r="G22" s="68" t="s">
        <v>141</v>
      </c>
      <c r="H22" s="68" t="s">
        <v>142</v>
      </c>
      <c r="I22" s="68" t="s">
        <v>143</v>
      </c>
      <c r="J22" s="278"/>
    </row>
    <row r="23" spans="1:10" ht="14.15" customHeight="1" x14ac:dyDescent="0.3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2076.47849</v>
      </c>
      <c r="G23" s="28">
        <f t="shared" si="0"/>
        <v>34529.384160000001</v>
      </c>
      <c r="H23" s="11">
        <f t="shared" si="0"/>
        <v>52297.615839999999</v>
      </c>
      <c r="I23" s="11">
        <f t="shared" si="0"/>
        <v>44783.443200000002</v>
      </c>
      <c r="J23" s="242"/>
    </row>
    <row r="24" spans="1:10" ht="14.15" customHeight="1" x14ac:dyDescent="0.35">
      <c r="A24" s="1"/>
      <c r="B24" s="252"/>
      <c r="C24" s="47" t="s">
        <v>20</v>
      </c>
      <c r="D24" s="48">
        <v>79217</v>
      </c>
      <c r="E24" s="48">
        <v>86045</v>
      </c>
      <c r="F24" s="23">
        <f>2059.52999</f>
        <v>2059.52999</v>
      </c>
      <c r="G24" s="23">
        <f>34336.68942</f>
        <v>34336.689420000002</v>
      </c>
      <c r="H24" s="23">
        <f>E24-G24</f>
        <v>51708.310579999998</v>
      </c>
      <c r="I24" s="23">
        <f>44540.66173</f>
        <v>44540.66173</v>
      </c>
      <c r="J24" s="242"/>
    </row>
    <row r="25" spans="1:10" ht="14.15" customHeight="1" x14ac:dyDescent="0.35">
      <c r="A25" s="1"/>
      <c r="B25" s="252"/>
      <c r="C25" s="50" t="s">
        <v>21</v>
      </c>
      <c r="D25" s="51">
        <v>750</v>
      </c>
      <c r="E25" s="51">
        <v>782</v>
      </c>
      <c r="F25" s="173">
        <f>16.9485</f>
        <v>16.948499999999999</v>
      </c>
      <c r="G25" s="23">
        <f>192.69474</f>
        <v>192.69474</v>
      </c>
      <c r="H25" s="23">
        <f>E25-G25</f>
        <v>589.30525999999998</v>
      </c>
      <c r="I25" s="23">
        <f>242.78147</f>
        <v>242.78147000000001</v>
      </c>
      <c r="J25" s="242"/>
    </row>
    <row r="26" spans="1:10" ht="14.15" customHeight="1" x14ac:dyDescent="0.3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15480.50712</v>
      </c>
      <c r="G26" s="11">
        <f t="shared" si="1"/>
        <v>137175.59501999998</v>
      </c>
      <c r="H26" s="11">
        <f t="shared" si="1"/>
        <v>60394.404980000007</v>
      </c>
      <c r="I26" s="11">
        <f t="shared" si="1"/>
        <v>164042.49300999998</v>
      </c>
      <c r="J26" s="242"/>
    </row>
    <row r="27" spans="1:10" ht="15" customHeight="1" x14ac:dyDescent="0.3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10679.04622</v>
      </c>
      <c r="G27" s="134">
        <f t="shared" ref="G27:I27" si="2">G28+G29+G30+G31+G32</f>
        <v>111455.24867999999</v>
      </c>
      <c r="H27" s="134">
        <f t="shared" si="2"/>
        <v>41195.751320000003</v>
      </c>
      <c r="I27" s="134">
        <f t="shared" si="2"/>
        <v>138756.05817999999</v>
      </c>
      <c r="J27" s="242"/>
    </row>
    <row r="28" spans="1:10" ht="14.15" customHeight="1" x14ac:dyDescent="0.35">
      <c r="A28" s="199"/>
      <c r="B28" s="184"/>
      <c r="C28" s="64" t="s">
        <v>24</v>
      </c>
      <c r="D28" s="65">
        <v>32925</v>
      </c>
      <c r="E28" s="65">
        <v>39549</v>
      </c>
      <c r="F28" s="205">
        <f>3574.50631</f>
        <v>3574.5063100000002</v>
      </c>
      <c r="G28" s="129">
        <f>30800.7378 - F57</f>
        <v>30800.737799999999</v>
      </c>
      <c r="H28" s="129">
        <f t="shared" ref="H28:H40" si="3">E28-G28</f>
        <v>8748.262200000001</v>
      </c>
      <c r="I28" s="129">
        <f>34213.83119 - H57</f>
        <v>34213.831189999997</v>
      </c>
      <c r="J28" s="67"/>
    </row>
    <row r="29" spans="1:10" ht="14.15" customHeight="1" x14ac:dyDescent="0.35">
      <c r="A29" s="199"/>
      <c r="B29" s="184"/>
      <c r="C29" s="64" t="s">
        <v>25</v>
      </c>
      <c r="D29" s="65">
        <v>36657</v>
      </c>
      <c r="E29" s="65">
        <v>40764</v>
      </c>
      <c r="F29" s="129">
        <f>2408.43142</f>
        <v>2408.4314199999999</v>
      </c>
      <c r="G29" s="129">
        <f>32746.1548 - F58</f>
        <v>32746.1548</v>
      </c>
      <c r="H29" s="129">
        <f t="shared" si="3"/>
        <v>8017.8451999999997</v>
      </c>
      <c r="I29" s="129">
        <f>39808.4412 - H58</f>
        <v>39808.441200000001</v>
      </c>
      <c r="J29" s="67"/>
    </row>
    <row r="30" spans="1:10" ht="14.15" customHeight="1" x14ac:dyDescent="0.35">
      <c r="A30" s="199"/>
      <c r="B30" s="184"/>
      <c r="C30" s="64" t="s">
        <v>26</v>
      </c>
      <c r="D30" s="65">
        <v>33272</v>
      </c>
      <c r="E30" s="65">
        <v>37267</v>
      </c>
      <c r="F30" s="129">
        <f>2773.70121</f>
        <v>2773.7012100000002</v>
      </c>
      <c r="G30" s="129">
        <f>28162.15918 - F59</f>
        <v>28162.159179999999</v>
      </c>
      <c r="H30" s="129">
        <f t="shared" si="3"/>
        <v>9104.8408200000013</v>
      </c>
      <c r="I30" s="129">
        <f>36951.0238499999 - H59</f>
        <v>36951.023849999998</v>
      </c>
      <c r="J30" s="67"/>
    </row>
    <row r="31" spans="1:10" ht="14.15" customHeight="1" x14ac:dyDescent="0.35">
      <c r="A31" s="199"/>
      <c r="B31" s="184"/>
      <c r="C31" s="64" t="s">
        <v>27</v>
      </c>
      <c r="D31" s="65">
        <v>24281</v>
      </c>
      <c r="E31" s="65">
        <v>25407</v>
      </c>
      <c r="F31" s="129">
        <f>1922.40728</f>
        <v>1922.4072799999999</v>
      </c>
      <c r="G31" s="129">
        <f>19746.1969 - F60</f>
        <v>19746.196899999999</v>
      </c>
      <c r="H31" s="129">
        <f t="shared" si="3"/>
        <v>5660.803100000001</v>
      </c>
      <c r="I31" s="129">
        <f>27782.76194 - H60</f>
        <v>27782.76194</v>
      </c>
      <c r="J31" s="67"/>
    </row>
    <row r="32" spans="1:10" ht="14.15" customHeight="1" x14ac:dyDescent="0.3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5" customHeight="1" x14ac:dyDescent="0.35">
      <c r="A33" s="69"/>
      <c r="B33" s="55"/>
      <c r="C33" s="59" t="s">
        <v>29</v>
      </c>
      <c r="D33" s="60">
        <v>21768</v>
      </c>
      <c r="E33" s="60">
        <v>23586</v>
      </c>
      <c r="F33" s="134">
        <f>1570.08427</f>
        <v>1570.0842700000001</v>
      </c>
      <c r="G33" s="134">
        <f>9737.36312</f>
        <v>9737.36312</v>
      </c>
      <c r="H33" s="134">
        <f t="shared" si="3"/>
        <v>13848.63688</v>
      </c>
      <c r="I33" s="134">
        <f>11733.19645</f>
        <v>11733.196449999999</v>
      </c>
      <c r="J33" s="67"/>
    </row>
    <row r="34" spans="1:13" ht="14.15" customHeight="1" x14ac:dyDescent="0.3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3231.3766300000002</v>
      </c>
      <c r="G34" s="134">
        <f>G35+G36</f>
        <v>15982.983219999998</v>
      </c>
      <c r="H34" s="134">
        <f t="shared" si="3"/>
        <v>5350.0167800000017</v>
      </c>
      <c r="I34" s="134">
        <f>I35+I36</f>
        <v>13553.238380000001</v>
      </c>
      <c r="J34" s="67"/>
    </row>
    <row r="35" spans="1:13" ht="14.15" customHeight="1" x14ac:dyDescent="0.35">
      <c r="A35" s="199"/>
      <c r="B35" s="184"/>
      <c r="C35" s="64" t="s">
        <v>31</v>
      </c>
      <c r="D35" s="65">
        <v>15290</v>
      </c>
      <c r="E35" s="65">
        <v>20133</v>
      </c>
      <c r="F35" s="129">
        <f>3231.37663</f>
        <v>3231.3766300000002</v>
      </c>
      <c r="G35" s="134">
        <f>17961.98322 - F61 - F62</f>
        <v>15982.983219999998</v>
      </c>
      <c r="H35" s="129">
        <f t="shared" si="3"/>
        <v>4150.0167800000017</v>
      </c>
      <c r="I35" s="129">
        <f>14216.23838 - H61 - H62</f>
        <v>13553.238380000001</v>
      </c>
      <c r="J35" s="67"/>
    </row>
    <row r="36" spans="1:13" ht="14.15" customHeight="1" x14ac:dyDescent="0.3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35">
      <c r="A37" s="1"/>
      <c r="B37" s="252"/>
      <c r="C37" s="75" t="s">
        <v>33</v>
      </c>
      <c r="D37" s="145">
        <v>3000</v>
      </c>
      <c r="E37" s="145">
        <v>3000</v>
      </c>
      <c r="F37" s="141">
        <f>19.5417</f>
        <v>19.541699999999999</v>
      </c>
      <c r="G37" s="141">
        <f>23.9217</f>
        <v>23.921700000000001</v>
      </c>
      <c r="H37" s="141">
        <f t="shared" si="3"/>
        <v>2976.0783000000001</v>
      </c>
      <c r="I37" s="141">
        <f>253.35255</f>
        <v>253.35255000000001</v>
      </c>
      <c r="J37" s="242"/>
    </row>
    <row r="38" spans="1:13" ht="14.15" customHeight="1" x14ac:dyDescent="0.35">
      <c r="A38" s="1"/>
      <c r="B38" s="252"/>
      <c r="C38" s="75" t="s">
        <v>34</v>
      </c>
      <c r="D38" s="145">
        <v>851</v>
      </c>
      <c r="E38" s="145">
        <v>851</v>
      </c>
      <c r="F38" s="100">
        <f>37.1353</f>
        <v>37.135300000000001</v>
      </c>
      <c r="G38" s="100">
        <f>414.74198</f>
        <v>414.74198000000001</v>
      </c>
      <c r="H38" s="100">
        <f t="shared" si="3"/>
        <v>436.25801999999999</v>
      </c>
      <c r="I38" s="100">
        <f>391.47437</f>
        <v>391.47437000000002</v>
      </c>
      <c r="J38" s="242"/>
    </row>
    <row r="39" spans="1:13" ht="17.25" customHeight="1" x14ac:dyDescent="0.3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818</v>
      </c>
      <c r="G39" s="100">
        <f>F61</f>
        <v>1979</v>
      </c>
      <c r="H39" s="100">
        <f t="shared" si="3"/>
        <v>1069</v>
      </c>
      <c r="I39" s="100">
        <f>H61</f>
        <v>663</v>
      </c>
      <c r="J39" s="242"/>
    </row>
    <row r="40" spans="1:13" ht="17.25" customHeight="1" x14ac:dyDescent="0.35">
      <c r="A40" s="1"/>
      <c r="B40" s="252"/>
      <c r="C40" s="75" t="s">
        <v>36</v>
      </c>
      <c r="D40" s="145">
        <v>7000</v>
      </c>
      <c r="E40" s="145">
        <v>7000</v>
      </c>
      <c r="F40" s="100">
        <f>36.11606</f>
        <v>36.116059999999997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3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3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5" customHeight="1" x14ac:dyDescent="0.3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3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18467.781670000004</v>
      </c>
      <c r="G44" s="78">
        <f t="shared" si="4"/>
        <v>181202.20385999998</v>
      </c>
      <c r="H44" s="78">
        <f t="shared" si="4"/>
        <v>117493.79613999996</v>
      </c>
      <c r="I44" s="78">
        <f t="shared" si="4"/>
        <v>217254.70155999999</v>
      </c>
      <c r="J44" s="242"/>
    </row>
    <row r="45" spans="1:13" ht="14.15" customHeight="1" x14ac:dyDescent="0.3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5" customHeight="1" x14ac:dyDescent="0.3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5" customHeight="1" x14ac:dyDescent="0.35">
      <c r="A47" s="101"/>
      <c r="B47" s="24"/>
      <c r="C47" s="163" t="s">
        <v>144</v>
      </c>
      <c r="D47" s="256"/>
      <c r="E47" s="256"/>
      <c r="F47" s="256"/>
      <c r="G47" s="82"/>
      <c r="H47" s="181"/>
      <c r="I47" s="181"/>
      <c r="J47" s="122"/>
    </row>
    <row r="48" spans="1:13" ht="14.15" customHeight="1" x14ac:dyDescent="0.3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5" customHeight="1" x14ac:dyDescent="0.3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5" customHeight="1" x14ac:dyDescent="0.3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3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3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3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35">
      <c r="A54" s="101"/>
      <c r="B54" s="24"/>
      <c r="C54" s="88" t="s">
        <v>16</v>
      </c>
      <c r="D54" s="68" t="s">
        <v>45</v>
      </c>
      <c r="E54" s="68" t="s">
        <v>140</v>
      </c>
      <c r="F54" s="68" t="s">
        <v>141</v>
      </c>
      <c r="G54" s="68" t="s">
        <v>142</v>
      </c>
      <c r="H54" s="68" t="s">
        <v>143</v>
      </c>
      <c r="I54" s="256"/>
      <c r="J54" s="242"/>
    </row>
    <row r="55" spans="1:10" ht="14.15" customHeight="1" x14ac:dyDescent="0.3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5" customHeight="1" x14ac:dyDescent="0.3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5" customHeight="1" x14ac:dyDescent="0.3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5" customHeight="1" x14ac:dyDescent="0.3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5" customHeight="1" x14ac:dyDescent="0.3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5" customHeight="1" thickBot="1" x14ac:dyDescent="0.4">
      <c r="A60" s="101"/>
      <c r="B60" s="24"/>
      <c r="C60" s="91" t="s">
        <v>47</v>
      </c>
      <c r="D60" s="97">
        <v>1200</v>
      </c>
      <c r="E60" s="97">
        <v>0</v>
      </c>
      <c r="F60" s="97">
        <v>0</v>
      </c>
      <c r="G60" s="97">
        <f>D60-F60</f>
        <v>1200</v>
      </c>
      <c r="H60" s="97">
        <v>0</v>
      </c>
      <c r="I60" s="256"/>
      <c r="J60" s="242"/>
    </row>
    <row r="61" spans="1:10" ht="14.15" customHeight="1" thickBot="1" x14ac:dyDescent="0.4">
      <c r="A61" s="101"/>
      <c r="B61" s="24"/>
      <c r="C61" s="144" t="s">
        <v>48</v>
      </c>
      <c r="D61" s="141">
        <v>3000</v>
      </c>
      <c r="E61" s="141">
        <v>818</v>
      </c>
      <c r="F61" s="141">
        <v>1979</v>
      </c>
      <c r="G61" s="141">
        <f>D61-F61</f>
        <v>1021</v>
      </c>
      <c r="H61" s="141">
        <v>663</v>
      </c>
      <c r="I61" s="256"/>
      <c r="J61" s="242"/>
    </row>
    <row r="62" spans="1:10" ht="14.15" customHeight="1" x14ac:dyDescent="0.3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5" customHeight="1" x14ac:dyDescent="0.3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3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3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3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49999999999999" customHeight="1" x14ac:dyDescent="0.3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7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3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3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3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5" customHeight="1" x14ac:dyDescent="0.3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3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35">
      <c r="A86" s="1"/>
      <c r="B86" s="252"/>
      <c r="C86" s="101" t="s">
        <v>139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3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5" customHeight="1" x14ac:dyDescent="0.3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3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4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3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140</v>
      </c>
      <c r="G91" s="15" t="s">
        <v>141</v>
      </c>
      <c r="H91" s="15" t="s">
        <v>142</v>
      </c>
      <c r="I91" s="15" t="s">
        <v>143</v>
      </c>
      <c r="J91" s="122"/>
    </row>
    <row r="92" spans="1:10" ht="14.15" customHeight="1" x14ac:dyDescent="0.3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3912.72498</v>
      </c>
      <c r="G92" s="11">
        <f t="shared" si="5"/>
        <v>31297.698110000001</v>
      </c>
      <c r="H92" s="11">
        <f t="shared" si="5"/>
        <v>3501.3018900000006</v>
      </c>
      <c r="I92" s="11">
        <f t="shared" si="5"/>
        <v>31957.320639999998</v>
      </c>
      <c r="J92" s="242"/>
    </row>
    <row r="93" spans="1:10" ht="15" customHeight="1" x14ac:dyDescent="0.35">
      <c r="A93" s="1"/>
      <c r="B93" s="252"/>
      <c r="C93" s="47" t="s">
        <v>20</v>
      </c>
      <c r="D93" s="48">
        <v>31285</v>
      </c>
      <c r="E93" s="48">
        <v>33987</v>
      </c>
      <c r="F93" s="23">
        <f>3753.52118</f>
        <v>3753.5211800000002</v>
      </c>
      <c r="G93" s="23">
        <f>30815.51557</f>
        <v>30815.51557</v>
      </c>
      <c r="H93" s="23">
        <f>E93-G93</f>
        <v>3171.4844300000004</v>
      </c>
      <c r="I93" s="23">
        <f>31391.01357</f>
        <v>31391.013569999999</v>
      </c>
      <c r="J93" s="242"/>
    </row>
    <row r="94" spans="1:10" ht="14.15" customHeight="1" x14ac:dyDescent="0.35">
      <c r="A94" s="1"/>
      <c r="B94" s="252"/>
      <c r="C94" s="66" t="s">
        <v>21</v>
      </c>
      <c r="D94" s="51">
        <v>750</v>
      </c>
      <c r="E94" s="51">
        <v>812</v>
      </c>
      <c r="F94" s="52">
        <f>159.2038</f>
        <v>159.2038</v>
      </c>
      <c r="G94" s="52">
        <f>482.18254</f>
        <v>482.18254000000002</v>
      </c>
      <c r="H94" s="52">
        <f>E94-G94</f>
        <v>329.81745999999998</v>
      </c>
      <c r="I94" s="52">
        <f>566.30707</f>
        <v>566.30706999999995</v>
      </c>
      <c r="J94" s="242"/>
    </row>
    <row r="95" spans="1:10" ht="15.75" customHeight="1" x14ac:dyDescent="0.3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792.90388999999993</v>
      </c>
      <c r="G95" s="11">
        <f t="shared" si="6"/>
        <v>12905.58605</v>
      </c>
      <c r="H95" s="11">
        <f t="shared" si="6"/>
        <v>46594.413949999995</v>
      </c>
      <c r="I95" s="11">
        <f t="shared" si="6"/>
        <v>14527.527100000001</v>
      </c>
      <c r="J95" s="242"/>
    </row>
    <row r="96" spans="1:10" ht="14.15" customHeight="1" x14ac:dyDescent="0.3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533.42580999999996</v>
      </c>
      <c r="G96" s="134">
        <f t="shared" si="7"/>
        <v>8267.4766400000008</v>
      </c>
      <c r="H96" s="134">
        <f t="shared" si="7"/>
        <v>36223.523359999999</v>
      </c>
      <c r="I96" s="134">
        <f t="shared" si="7"/>
        <v>10023.93368</v>
      </c>
      <c r="J96" s="242"/>
    </row>
    <row r="97" spans="1:10" ht="14.15" customHeight="1" x14ac:dyDescent="0.35">
      <c r="A97" s="199"/>
      <c r="B97" s="184"/>
      <c r="C97" s="64" t="s">
        <v>24</v>
      </c>
      <c r="D97" s="65">
        <v>10751</v>
      </c>
      <c r="E97" s="65">
        <v>11883.7</v>
      </c>
      <c r="F97" s="129">
        <f>117.10703</f>
        <v>117.10702999999999</v>
      </c>
      <c r="G97" s="129">
        <f>1743.91153</f>
        <v>1743.9115300000001</v>
      </c>
      <c r="H97" s="129">
        <f t="shared" ref="H97:H104" si="8">E97-G97</f>
        <v>10139.788470000001</v>
      </c>
      <c r="I97" s="129">
        <f>1892.08887</f>
        <v>1892.08887</v>
      </c>
      <c r="J97" s="242"/>
    </row>
    <row r="98" spans="1:10" ht="14.15" customHeight="1" x14ac:dyDescent="0.35">
      <c r="A98" s="199"/>
      <c r="B98" s="184"/>
      <c r="C98" s="64" t="s">
        <v>52</v>
      </c>
      <c r="D98" s="65">
        <v>11448</v>
      </c>
      <c r="E98" s="65">
        <v>12665.1</v>
      </c>
      <c r="F98" s="129">
        <f>272.38056</f>
        <v>272.38056</v>
      </c>
      <c r="G98" s="129">
        <f>2482.47422</f>
        <v>2482.4742200000001</v>
      </c>
      <c r="H98" s="129">
        <f t="shared" si="8"/>
        <v>10182.62578</v>
      </c>
      <c r="I98" s="129">
        <f>3236.33561</f>
        <v>3236.3356100000001</v>
      </c>
      <c r="J98" s="242"/>
    </row>
    <row r="99" spans="1:10" ht="14.15" customHeight="1" x14ac:dyDescent="0.35">
      <c r="A99" s="199"/>
      <c r="B99" s="184"/>
      <c r="C99" s="64" t="s">
        <v>53</v>
      </c>
      <c r="D99" s="65">
        <v>10830</v>
      </c>
      <c r="E99" s="65">
        <v>11965.6</v>
      </c>
      <c r="F99" s="129">
        <f>87.08707</f>
        <v>87.087069999999997</v>
      </c>
      <c r="G99" s="129">
        <f>1911.16678</f>
        <v>1911.16678</v>
      </c>
      <c r="H99" s="129">
        <f t="shared" si="8"/>
        <v>10054.433220000001</v>
      </c>
      <c r="I99" s="129">
        <f>3171.48581</f>
        <v>3171.4858100000001</v>
      </c>
      <c r="J99" s="242"/>
    </row>
    <row r="100" spans="1:10" ht="14.15" customHeight="1" x14ac:dyDescent="0.35">
      <c r="A100" s="199"/>
      <c r="B100" s="184"/>
      <c r="C100" s="64" t="s">
        <v>27</v>
      </c>
      <c r="D100" s="65">
        <v>7233</v>
      </c>
      <c r="E100" s="65">
        <v>7976.6</v>
      </c>
      <c r="F100" s="129">
        <f>56.85115</f>
        <v>56.851149999999997</v>
      </c>
      <c r="G100" s="129">
        <f>2129.92411</f>
        <v>2129.9241099999999</v>
      </c>
      <c r="H100" s="129">
        <f t="shared" si="8"/>
        <v>5846.6758900000004</v>
      </c>
      <c r="I100" s="129">
        <f>1724.02339</f>
        <v>1724.0233900000001</v>
      </c>
      <c r="J100" s="242"/>
    </row>
    <row r="101" spans="1:10" ht="14.15" customHeight="1" x14ac:dyDescent="0.35">
      <c r="A101" s="199"/>
      <c r="B101" s="184"/>
      <c r="C101" s="59" t="s">
        <v>54</v>
      </c>
      <c r="D101" s="60">
        <v>9408</v>
      </c>
      <c r="E101" s="60">
        <v>10391</v>
      </c>
      <c r="F101" s="134">
        <f>188.46786</f>
        <v>188.46786</v>
      </c>
      <c r="G101" s="134">
        <f>3647.74111</f>
        <v>3647.7411099999999</v>
      </c>
      <c r="H101" s="134">
        <f t="shared" si="8"/>
        <v>6743.2588900000001</v>
      </c>
      <c r="I101" s="134">
        <f>3783.96679</f>
        <v>3783.9667899999999</v>
      </c>
      <c r="J101" s="242"/>
    </row>
    <row r="102" spans="1:10" ht="15.75" customHeight="1" x14ac:dyDescent="0.35">
      <c r="A102" s="1"/>
      <c r="B102" s="55"/>
      <c r="C102" s="38" t="s">
        <v>11</v>
      </c>
      <c r="D102" s="63">
        <v>4181</v>
      </c>
      <c r="E102" s="63">
        <v>4618</v>
      </c>
      <c r="F102" s="77">
        <f>71.01022</f>
        <v>71.010220000000004</v>
      </c>
      <c r="G102" s="77">
        <f>990.3683</f>
        <v>990.36829999999998</v>
      </c>
      <c r="H102" s="77">
        <f t="shared" si="8"/>
        <v>3627.6316999999999</v>
      </c>
      <c r="I102" s="77">
        <f>719.62663</f>
        <v>719.62662999999998</v>
      </c>
      <c r="J102" s="242"/>
    </row>
    <row r="103" spans="1:10" ht="15.75" customHeight="1" x14ac:dyDescent="0.3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11.1417</f>
        <v>11.1417</v>
      </c>
      <c r="H103" s="100">
        <f t="shared" si="8"/>
        <v>308.85829999999999</v>
      </c>
      <c r="I103" s="100">
        <f>21.74309</f>
        <v>21.743089999999999</v>
      </c>
      <c r="J103" s="242"/>
    </row>
    <row r="104" spans="1:10" ht="18" customHeight="1" x14ac:dyDescent="0.35">
      <c r="A104" s="1"/>
      <c r="B104" s="252"/>
      <c r="C104" s="75" t="s">
        <v>55</v>
      </c>
      <c r="D104" s="145">
        <v>300</v>
      </c>
      <c r="E104" s="145">
        <v>300</v>
      </c>
      <c r="F104" s="141">
        <f>4.02751</f>
        <v>4.0275100000000004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3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3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3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4709.6563799999994</v>
      </c>
      <c r="G107" s="78">
        <f t="shared" si="9"/>
        <v>44523.19365999999</v>
      </c>
      <c r="H107" s="78">
        <f t="shared" si="9"/>
        <v>50445.80634000001</v>
      </c>
      <c r="I107" s="78">
        <f t="shared" si="9"/>
        <v>46850.32561</v>
      </c>
      <c r="J107" s="242"/>
    </row>
    <row r="108" spans="1:10" ht="13.5" customHeight="1" x14ac:dyDescent="0.3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35">
      <c r="A109" s="1"/>
      <c r="B109" s="24"/>
      <c r="C109" s="163" t="s">
        <v>145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3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3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3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3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3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49999999999999" customHeight="1" x14ac:dyDescent="0.3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3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5" customHeight="1" x14ac:dyDescent="0.3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3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5" customHeight="1" x14ac:dyDescent="0.3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5" customHeight="1" x14ac:dyDescent="0.3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5" customHeight="1" x14ac:dyDescent="0.3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5" customHeight="1" x14ac:dyDescent="0.3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3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3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3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3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140</v>
      </c>
      <c r="G127" s="15" t="s">
        <v>141</v>
      </c>
      <c r="H127" s="15" t="s">
        <v>142</v>
      </c>
      <c r="I127" s="15" t="s">
        <v>143</v>
      </c>
      <c r="J127" s="278"/>
    </row>
    <row r="128" spans="1:10" ht="14.15" customHeight="1" x14ac:dyDescent="0.3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641.68372999999997</v>
      </c>
      <c r="G128" s="11">
        <f t="shared" si="10"/>
        <v>27678.048879999998</v>
      </c>
      <c r="H128" s="11">
        <f t="shared" si="10"/>
        <v>42862.951119999998</v>
      </c>
      <c r="I128" s="11">
        <f t="shared" si="10"/>
        <v>25688.917129999998</v>
      </c>
      <c r="J128" s="242"/>
    </row>
    <row r="129" spans="1:10" ht="14.15" customHeight="1" x14ac:dyDescent="0.35">
      <c r="A129" s="1"/>
      <c r="B129" s="252"/>
      <c r="C129" s="47" t="s">
        <v>20</v>
      </c>
      <c r="D129" s="48">
        <v>61702</v>
      </c>
      <c r="E129" s="48">
        <v>56092</v>
      </c>
      <c r="F129" s="23">
        <f>367.45418</f>
        <v>367.45418000000001</v>
      </c>
      <c r="G129" s="23">
        <f>23517.47008</f>
        <v>23517.470079999999</v>
      </c>
      <c r="H129" s="23">
        <f>E129-G129</f>
        <v>32574.529920000001</v>
      </c>
      <c r="I129" s="23">
        <f>20540.06757</f>
        <v>20540.067569999999</v>
      </c>
      <c r="J129" s="242"/>
    </row>
    <row r="130" spans="1:10" ht="15" customHeight="1" x14ac:dyDescent="0.35">
      <c r="A130" s="1"/>
      <c r="B130" s="252"/>
      <c r="C130" s="47" t="s">
        <v>21</v>
      </c>
      <c r="D130" s="48">
        <v>14926</v>
      </c>
      <c r="E130" s="48">
        <v>13949</v>
      </c>
      <c r="F130" s="23">
        <f>274.22955</f>
        <v>274.22955000000002</v>
      </c>
      <c r="G130" s="23">
        <f>4160.5788</f>
        <v>4160.5788000000002</v>
      </c>
      <c r="H130" s="23">
        <f>E130-G130</f>
        <v>9788.4212000000007</v>
      </c>
      <c r="I130" s="23">
        <f>5148.84956</f>
        <v>5148.8495599999997</v>
      </c>
      <c r="J130" s="242"/>
    </row>
    <row r="131" spans="1:10" ht="13.5" customHeight="1" x14ac:dyDescent="0.3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35">
      <c r="A132" s="70"/>
      <c r="B132" s="81"/>
      <c r="C132" s="91" t="s">
        <v>65</v>
      </c>
      <c r="D132" s="93">
        <v>52113</v>
      </c>
      <c r="E132" s="93">
        <v>49172</v>
      </c>
      <c r="F132" s="97">
        <f>160.0216</f>
        <v>160.02160000000001</v>
      </c>
      <c r="G132" s="97">
        <f>298.16213 + 1113.15091</f>
        <v>1411.31304</v>
      </c>
      <c r="H132" s="97">
        <f>E132-G132</f>
        <v>47760.686959999999</v>
      </c>
      <c r="I132" s="97">
        <f>40.023</f>
        <v>40.023000000000003</v>
      </c>
      <c r="J132" s="118"/>
    </row>
    <row r="133" spans="1:10" ht="15.75" customHeight="1" x14ac:dyDescent="0.3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2213.3548500000002</v>
      </c>
      <c r="G133" s="96">
        <f t="shared" ref="G133" si="11">G134+G139+G142</f>
        <v>37922.372969999997</v>
      </c>
      <c r="H133" s="96">
        <f>H134+H139+H142</f>
        <v>43017.627030000003</v>
      </c>
      <c r="I133" s="96">
        <f>I134+I139+I142</f>
        <v>32233.713680000001</v>
      </c>
      <c r="J133" s="122"/>
    </row>
    <row r="134" spans="1:10" ht="14.15" customHeight="1" x14ac:dyDescent="0.3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1724.3166100000001</v>
      </c>
      <c r="G134" s="127">
        <f>G135+G136+G138+G137</f>
        <v>30287.746050000002</v>
      </c>
      <c r="H134" s="127">
        <f>H135+H136+H137+H138</f>
        <v>29216.253949999998</v>
      </c>
      <c r="I134" s="127">
        <f>I135+I136+I137+I138</f>
        <v>25608.968529999998</v>
      </c>
      <c r="J134" s="278"/>
    </row>
    <row r="135" spans="1:10" ht="14.15" customHeight="1" x14ac:dyDescent="0.35">
      <c r="A135" s="199"/>
      <c r="B135" s="128"/>
      <c r="C135" s="64" t="s">
        <v>24</v>
      </c>
      <c r="D135" s="65">
        <v>16169</v>
      </c>
      <c r="E135" s="65">
        <v>17504</v>
      </c>
      <c r="F135" s="129">
        <f>290.45143</f>
        <v>290.45143000000002</v>
      </c>
      <c r="G135" s="129">
        <v>4664.4515300000003</v>
      </c>
      <c r="H135" s="129">
        <f>E135-G135</f>
        <v>12839.54847</v>
      </c>
      <c r="I135" s="129">
        <f>3506.03324</f>
        <v>3506.0332400000002</v>
      </c>
      <c r="J135" s="130"/>
    </row>
    <row r="136" spans="1:10" ht="14.15" customHeight="1" x14ac:dyDescent="0.35">
      <c r="A136" s="199"/>
      <c r="B136" s="184"/>
      <c r="C136" s="64" t="s">
        <v>52</v>
      </c>
      <c r="D136" s="65">
        <v>16559</v>
      </c>
      <c r="E136" s="65">
        <v>15084</v>
      </c>
      <c r="F136" s="129">
        <f>405.60433</f>
        <v>405.60433</v>
      </c>
      <c r="G136" s="129">
        <v>9165.86319</v>
      </c>
      <c r="H136" s="129">
        <f>E136-G136</f>
        <v>5918.13681</v>
      </c>
      <c r="I136" s="129">
        <f>6689.68143</f>
        <v>6689.6814299999996</v>
      </c>
      <c r="J136" s="131"/>
    </row>
    <row r="137" spans="1:10" ht="14.15" customHeight="1" x14ac:dyDescent="0.35">
      <c r="A137" s="199"/>
      <c r="B137" s="184"/>
      <c r="C137" s="64" t="s">
        <v>53</v>
      </c>
      <c r="D137" s="65">
        <v>15131</v>
      </c>
      <c r="E137" s="65">
        <v>15023</v>
      </c>
      <c r="F137" s="129">
        <f>576.41628</f>
        <v>576.41628000000003</v>
      </c>
      <c r="G137" s="129">
        <v>7886.4020100000007</v>
      </c>
      <c r="H137" s="129">
        <f>E137-G137</f>
        <v>7136.5979899999993</v>
      </c>
      <c r="I137" s="129">
        <f>8092.04329</f>
        <v>8092.0432899999996</v>
      </c>
      <c r="J137" s="131"/>
    </row>
    <row r="138" spans="1:10" ht="14.15" customHeight="1" x14ac:dyDescent="0.35">
      <c r="A138" s="199"/>
      <c r="B138" s="184"/>
      <c r="C138" s="64" t="s">
        <v>27</v>
      </c>
      <c r="D138" s="65">
        <v>13057</v>
      </c>
      <c r="E138" s="65">
        <v>11893</v>
      </c>
      <c r="F138" s="129">
        <f>451.84457</f>
        <v>451.84456999999998</v>
      </c>
      <c r="G138" s="129">
        <v>8571.0293199999996</v>
      </c>
      <c r="H138" s="129">
        <f>E138-G138</f>
        <v>3321.9706800000004</v>
      </c>
      <c r="I138" s="129">
        <f>7321.21057</f>
        <v>7321.2105700000002</v>
      </c>
      <c r="J138" s="131"/>
    </row>
    <row r="139" spans="1:10" ht="14.15" customHeight="1" x14ac:dyDescent="0.3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206.87712000000002</v>
      </c>
      <c r="G139" s="134">
        <f>SUM(G140:G141)</f>
        <v>5453.9552000000003</v>
      </c>
      <c r="H139" s="134">
        <f>H140+H141</f>
        <v>3978.0448000000001</v>
      </c>
      <c r="I139" s="134">
        <f>SUM(I140:I141)</f>
        <v>4852.7621899999995</v>
      </c>
      <c r="J139" s="136"/>
    </row>
    <row r="140" spans="1:10" ht="14.15" customHeight="1" x14ac:dyDescent="0.35">
      <c r="A140" s="1"/>
      <c r="B140" s="252"/>
      <c r="C140" s="64" t="s">
        <v>67</v>
      </c>
      <c r="D140" s="65">
        <v>8213</v>
      </c>
      <c r="E140" s="65">
        <v>8932</v>
      </c>
      <c r="F140" s="129">
        <f>202.35193</f>
        <v>202.35193000000001</v>
      </c>
      <c r="G140" s="129">
        <f>5344.41122</f>
        <v>5344.41122</v>
      </c>
      <c r="H140" s="129">
        <f t="shared" ref="H140:H147" si="12">E140-G140</f>
        <v>3587.58878</v>
      </c>
      <c r="I140" s="129">
        <f>4768.81064</f>
        <v>4768.8106399999997</v>
      </c>
      <c r="J140" s="122"/>
    </row>
    <row r="141" spans="1:10" ht="15" customHeight="1" x14ac:dyDescent="0.35">
      <c r="A141" s="1"/>
      <c r="B141" s="55"/>
      <c r="C141" s="64" t="s">
        <v>68</v>
      </c>
      <c r="D141" s="65">
        <v>500</v>
      </c>
      <c r="E141" s="65">
        <v>500</v>
      </c>
      <c r="F141" s="129">
        <f>4.52519</f>
        <v>4.5251900000000003</v>
      </c>
      <c r="G141" s="129">
        <f>109.54398</f>
        <v>109.54398</v>
      </c>
      <c r="H141" s="129">
        <f t="shared" si="12"/>
        <v>390.45601999999997</v>
      </c>
      <c r="I141" s="129">
        <f>83.95155</f>
        <v>83.951549999999997</v>
      </c>
      <c r="J141" s="137"/>
    </row>
    <row r="142" spans="1:10" ht="15.75" customHeight="1" x14ac:dyDescent="0.35">
      <c r="A142" s="1"/>
      <c r="B142" s="252"/>
      <c r="C142" s="38" t="s">
        <v>11</v>
      </c>
      <c r="D142" s="63">
        <v>11090</v>
      </c>
      <c r="E142" s="63">
        <v>12004</v>
      </c>
      <c r="F142" s="77">
        <f>282.16112</f>
        <v>282.16111999999998</v>
      </c>
      <c r="G142" s="77">
        <f>2180.67172</f>
        <v>2180.6717199999998</v>
      </c>
      <c r="H142" s="77">
        <f t="shared" si="12"/>
        <v>9823.3282799999997</v>
      </c>
      <c r="I142" s="77">
        <f>1771.98296</f>
        <v>1771.98296</v>
      </c>
      <c r="J142" s="122"/>
    </row>
    <row r="143" spans="1:10" ht="15.75" customHeight="1" x14ac:dyDescent="0.35">
      <c r="A143" s="1"/>
      <c r="B143" s="252"/>
      <c r="C143" s="144" t="s">
        <v>34</v>
      </c>
      <c r="D143" s="145">
        <v>137</v>
      </c>
      <c r="E143" s="145">
        <v>137</v>
      </c>
      <c r="F143" s="141">
        <f>0.0607</f>
        <v>6.0699999999999997E-2</v>
      </c>
      <c r="G143" s="141">
        <f>17.99741</f>
        <v>17.997409999999999</v>
      </c>
      <c r="H143" s="141">
        <f t="shared" si="12"/>
        <v>119.00259</v>
      </c>
      <c r="I143" s="141">
        <f>20.73082</f>
        <v>20.730820000000001</v>
      </c>
      <c r="J143" s="122"/>
    </row>
    <row r="144" spans="1:10" ht="15.75" customHeight="1" x14ac:dyDescent="0.3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0</f>
        <v>0</v>
      </c>
      <c r="H144" s="100">
        <f t="shared" si="12"/>
        <v>250</v>
      </c>
      <c r="I144" s="100">
        <f>0</f>
        <v>0</v>
      </c>
      <c r="J144" s="122"/>
    </row>
    <row r="145" spans="1:10" ht="18" customHeight="1" x14ac:dyDescent="0.35">
      <c r="A145" s="1"/>
      <c r="B145" s="252"/>
      <c r="C145" s="142" t="s">
        <v>70</v>
      </c>
      <c r="D145" s="145">
        <v>2000</v>
      </c>
      <c r="E145" s="145">
        <v>2000</v>
      </c>
      <c r="F145" s="141">
        <f>25.2178</f>
        <v>25.2178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3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3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3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3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3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3040.3386800000003</v>
      </c>
      <c r="G150" s="78">
        <f>G128+G132+G133+G143+G144+G145+G146+G147+G148</f>
        <v>69029.732299999989</v>
      </c>
      <c r="H150" s="78">
        <f>H128+H132+H133+H143+H144+H145+H146+H147+H148</f>
        <v>134205.2677</v>
      </c>
      <c r="I150" s="78">
        <f>I128+I132+I133+I143+I144+I145+I146+I147+I148</f>
        <v>59983.38463</v>
      </c>
      <c r="J150" s="162"/>
    </row>
    <row r="151" spans="1:10" ht="14.25" customHeight="1" x14ac:dyDescent="0.3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3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35">
      <c r="A153" s="159"/>
      <c r="B153" s="54"/>
      <c r="C153" s="163" t="s">
        <v>147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35">
      <c r="A154" s="159"/>
      <c r="B154" s="54"/>
      <c r="C154" s="80" t="s">
        <v>146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3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3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3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3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3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3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3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3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5" customHeight="1" x14ac:dyDescent="0.3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5" customHeight="1" x14ac:dyDescent="0.3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5" customHeight="1" x14ac:dyDescent="0.3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5" customHeight="1" x14ac:dyDescent="0.3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5" customHeight="1" x14ac:dyDescent="0.3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5" customHeight="1" x14ac:dyDescent="0.3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3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3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3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35">
      <c r="A174" s="159"/>
      <c r="B174" s="54"/>
      <c r="C174" s="15" t="s">
        <v>16</v>
      </c>
      <c r="D174" s="177" t="s">
        <v>2</v>
      </c>
      <c r="E174" s="15" t="s">
        <v>140</v>
      </c>
      <c r="F174" s="15" t="s">
        <v>141</v>
      </c>
      <c r="G174" s="56" t="s">
        <v>142</v>
      </c>
      <c r="H174" s="15" t="s">
        <v>143</v>
      </c>
      <c r="I174" s="159"/>
      <c r="J174" s="278"/>
    </row>
    <row r="175" spans="1:10" ht="14.15" customHeight="1" x14ac:dyDescent="0.35">
      <c r="A175" s="1"/>
      <c r="B175" s="252"/>
      <c r="C175" s="143" t="s">
        <v>76</v>
      </c>
      <c r="D175" s="96">
        <v>4988</v>
      </c>
      <c r="E175" s="274">
        <f>36.60582</f>
        <v>36.605820000000001</v>
      </c>
      <c r="F175" s="274">
        <f>539.75361</f>
        <v>539.75360999999998</v>
      </c>
      <c r="G175" s="45">
        <f>D175-F175-F176</f>
        <v>4204.18613</v>
      </c>
      <c r="H175" s="274">
        <f>386.85435</f>
        <v>386.85435000000001</v>
      </c>
      <c r="I175" s="1"/>
      <c r="J175" s="122"/>
    </row>
    <row r="176" spans="1:10" ht="14.15" customHeight="1" x14ac:dyDescent="0.35">
      <c r="A176" s="1"/>
      <c r="B176" s="252"/>
      <c r="C176" s="139" t="s">
        <v>54</v>
      </c>
      <c r="D176" s="183"/>
      <c r="E176" s="154">
        <f>60.52183</f>
        <v>60.521830000000001</v>
      </c>
      <c r="F176" s="154">
        <f>244.06026</f>
        <v>244.06026</v>
      </c>
      <c r="G176" s="215"/>
      <c r="H176" s="154">
        <f>415.74123</f>
        <v>415.74122999999997</v>
      </c>
      <c r="I176" s="1"/>
      <c r="J176" s="122"/>
    </row>
    <row r="177" spans="1:10" ht="15.65" customHeight="1" x14ac:dyDescent="0.35">
      <c r="A177" s="1"/>
      <c r="B177" s="252"/>
      <c r="C177" s="171" t="s">
        <v>77</v>
      </c>
      <c r="D177" s="100">
        <v>200</v>
      </c>
      <c r="E177" s="174">
        <f>19.92316</f>
        <v>19.923159999999999</v>
      </c>
      <c r="F177" s="174">
        <f>42.3329</f>
        <v>42.332900000000002</v>
      </c>
      <c r="G177" s="174">
        <f>D177-F177</f>
        <v>157.6671</v>
      </c>
      <c r="H177" s="174">
        <f>26.38042</f>
        <v>26.380420000000001</v>
      </c>
      <c r="I177" s="1"/>
      <c r="J177" s="122"/>
    </row>
    <row r="178" spans="1:10" ht="14.15" customHeight="1" x14ac:dyDescent="0.35">
      <c r="A178" s="70"/>
      <c r="B178" s="81"/>
      <c r="C178" s="182" t="s">
        <v>78</v>
      </c>
      <c r="D178" s="183">
        <v>7481</v>
      </c>
      <c r="E178" s="183">
        <f>E179+E180+E181</f>
        <v>1.0293399999999999</v>
      </c>
      <c r="F178" s="183">
        <f>F179+F180+F181</f>
        <v>20.486339999999998</v>
      </c>
      <c r="G178" s="183">
        <f>D178-F178</f>
        <v>7460.5136599999996</v>
      </c>
      <c r="H178" s="183">
        <f>H179+H180+H181</f>
        <v>22.078240000000001</v>
      </c>
      <c r="I178" s="70"/>
      <c r="J178" s="118"/>
    </row>
    <row r="179" spans="1:10" ht="14.15" customHeight="1" x14ac:dyDescent="0.35">
      <c r="A179" s="199"/>
      <c r="B179" s="184"/>
      <c r="C179" s="185" t="s">
        <v>79</v>
      </c>
      <c r="D179" s="129"/>
      <c r="E179" s="129">
        <f>0.37476</f>
        <v>0.37475999999999998</v>
      </c>
      <c r="F179" s="129">
        <f>6.0717</f>
        <v>6.0716999999999999</v>
      </c>
      <c r="G179" s="129"/>
      <c r="H179" s="129">
        <f>1.65904</f>
        <v>1.6590400000000001</v>
      </c>
      <c r="I179" s="188"/>
      <c r="J179" s="131"/>
    </row>
    <row r="180" spans="1:10" ht="14.15" customHeight="1" x14ac:dyDescent="0.35">
      <c r="A180" s="199"/>
      <c r="B180" s="184"/>
      <c r="C180" s="185" t="s">
        <v>80</v>
      </c>
      <c r="D180" s="129"/>
      <c r="E180" s="129">
        <f>0.61202</f>
        <v>0.61202000000000001</v>
      </c>
      <c r="F180" s="129">
        <f>13.31052</f>
        <v>13.31052</v>
      </c>
      <c r="G180" s="129"/>
      <c r="H180" s="129">
        <f>16.16007</f>
        <v>16.160070000000001</v>
      </c>
      <c r="I180" s="188"/>
      <c r="J180" s="189"/>
    </row>
    <row r="181" spans="1:10" ht="14.15" customHeight="1" x14ac:dyDescent="0.35">
      <c r="A181" s="199"/>
      <c r="B181" s="184"/>
      <c r="C181" s="191" t="s">
        <v>81</v>
      </c>
      <c r="D181" s="194"/>
      <c r="E181" s="194">
        <f>0.04256</f>
        <v>4.2560000000000001E-2</v>
      </c>
      <c r="F181" s="194">
        <f>1.10412</f>
        <v>1.10412</v>
      </c>
      <c r="G181" s="194"/>
      <c r="H181" s="194">
        <f>4.25913</f>
        <v>4.2591299999999999</v>
      </c>
      <c r="I181" s="188"/>
      <c r="J181" s="189"/>
    </row>
    <row r="182" spans="1:10" ht="14.15" customHeight="1" x14ac:dyDescent="0.3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3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99999999999999" customHeight="1" x14ac:dyDescent="0.3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118.08015</v>
      </c>
      <c r="F184" s="196">
        <f>F175+F176+F177+F178+F182+F183</f>
        <v>846.63310999999999</v>
      </c>
      <c r="G184" s="196">
        <f>D184-F184</f>
        <v>11888.366889999999</v>
      </c>
      <c r="H184" s="196">
        <f>H175+H176+H177+H178+H182+H183</f>
        <v>851.05423999999994</v>
      </c>
      <c r="I184" s="165"/>
      <c r="J184" s="162"/>
    </row>
    <row r="185" spans="1:10" ht="42" customHeight="1" x14ac:dyDescent="0.3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3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3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3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3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3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3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3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3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3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3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3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3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3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3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3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35">
      <c r="A203" s="1"/>
      <c r="B203" s="252"/>
      <c r="C203" s="68" t="s">
        <v>16</v>
      </c>
      <c r="D203" s="79" t="s">
        <v>2</v>
      </c>
      <c r="E203" s="68" t="s">
        <v>140</v>
      </c>
      <c r="F203" s="68" t="s">
        <v>141</v>
      </c>
      <c r="G203" s="68" t="s">
        <v>142</v>
      </c>
      <c r="H203" s="68" t="s">
        <v>143</v>
      </c>
      <c r="I203" s="1"/>
      <c r="J203" s="122"/>
    </row>
    <row r="204" spans="1:10" ht="15" customHeight="1" x14ac:dyDescent="0.35">
      <c r="A204" s="1"/>
      <c r="B204" s="252"/>
      <c r="C204" s="90" t="s">
        <v>4</v>
      </c>
      <c r="D204" s="124">
        <v>43839</v>
      </c>
      <c r="E204" s="124">
        <f>236.26426</f>
        <v>236.26426000000001</v>
      </c>
      <c r="F204" s="124">
        <f>7683.27808</f>
        <v>7683.27808</v>
      </c>
      <c r="G204" s="124">
        <f>D204-F204</f>
        <v>36155.721919999996</v>
      </c>
      <c r="H204" s="124">
        <f>4408.04585</f>
        <v>4408.0458500000004</v>
      </c>
      <c r="I204" s="246"/>
      <c r="J204" s="122"/>
    </row>
    <row r="205" spans="1:10" ht="15" customHeight="1" x14ac:dyDescent="0.35">
      <c r="A205" s="1"/>
      <c r="B205" s="252"/>
      <c r="C205" s="90" t="s">
        <v>68</v>
      </c>
      <c r="D205" s="124">
        <v>100</v>
      </c>
      <c r="E205" s="124">
        <f>0.04594</f>
        <v>4.5940000000000002E-2</v>
      </c>
      <c r="F205" s="124">
        <f>0.86324</f>
        <v>0.86324000000000001</v>
      </c>
      <c r="G205" s="124">
        <f>D205-F205</f>
        <v>99.136759999999995</v>
      </c>
      <c r="H205" s="124">
        <f>18.91784</f>
        <v>18.917840000000002</v>
      </c>
      <c r="I205" s="246"/>
      <c r="J205" s="122"/>
    </row>
    <row r="206" spans="1:10" ht="15.75" customHeight="1" x14ac:dyDescent="0.3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35">
      <c r="A207" s="1"/>
      <c r="B207" s="252"/>
      <c r="C207" s="179" t="s">
        <v>88</v>
      </c>
      <c r="D207" s="190">
        <f>SUM(D204:D206)</f>
        <v>43981</v>
      </c>
      <c r="E207" s="190">
        <f>SUM(E204:E206)</f>
        <v>236.31020000000001</v>
      </c>
      <c r="F207" s="190">
        <f>SUM(F204:F206)</f>
        <v>7684.1413199999997</v>
      </c>
      <c r="G207" s="190">
        <f>D207-F207</f>
        <v>36296.858679999998</v>
      </c>
      <c r="H207" s="190">
        <f>SUM(H204:H206)</f>
        <v>4426.9636900000005</v>
      </c>
      <c r="I207" s="246"/>
      <c r="J207" s="122"/>
    </row>
    <row r="208" spans="1:10" ht="17.149999999999999" customHeight="1" x14ac:dyDescent="0.3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3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3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5" customHeight="1" x14ac:dyDescent="0.3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5" customHeight="1" x14ac:dyDescent="0.3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5" customHeight="1" x14ac:dyDescent="0.3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5" customHeight="1" x14ac:dyDescent="0.3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5" customHeight="1" x14ac:dyDescent="0.3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3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3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5" customHeight="1" x14ac:dyDescent="0.3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3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3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3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5" customHeight="1" x14ac:dyDescent="0.3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35">
      <c r="A257" s="1"/>
      <c r="B257" s="252"/>
      <c r="C257" s="68" t="s">
        <v>16</v>
      </c>
      <c r="D257" s="241" t="s">
        <v>2</v>
      </c>
      <c r="E257" s="68" t="s">
        <v>140</v>
      </c>
      <c r="F257" s="68" t="s">
        <v>141</v>
      </c>
      <c r="G257" s="68" t="s">
        <v>142</v>
      </c>
      <c r="H257" s="68" t="s">
        <v>143</v>
      </c>
      <c r="I257" s="1"/>
      <c r="J257" s="118"/>
    </row>
    <row r="258" spans="1:10" ht="14.15" customHeight="1" x14ac:dyDescent="0.35">
      <c r="A258" s="70"/>
      <c r="B258" s="81"/>
      <c r="C258" s="90" t="s">
        <v>96</v>
      </c>
      <c r="D258" s="124">
        <v>800</v>
      </c>
      <c r="E258" s="124">
        <f>5.89748</f>
        <v>5.8974799999999998</v>
      </c>
      <c r="F258" s="124">
        <f>114.00321</f>
        <v>114.00321</v>
      </c>
      <c r="G258" s="124">
        <f>D258-F258</f>
        <v>685.99679000000003</v>
      </c>
      <c r="H258" s="124">
        <f>60.0569</f>
        <v>60.056899999999999</v>
      </c>
      <c r="I258" s="70"/>
      <c r="J258" s="242"/>
    </row>
    <row r="259" spans="1:10" ht="14.15" customHeight="1" x14ac:dyDescent="0.35">
      <c r="A259" s="1"/>
      <c r="B259" s="252"/>
      <c r="C259" s="90" t="s">
        <v>97</v>
      </c>
      <c r="D259" s="244">
        <v>2494</v>
      </c>
      <c r="E259" s="124">
        <f>8.51057</f>
        <v>8.5105699999999995</v>
      </c>
      <c r="F259" s="124">
        <f>429.04082</f>
        <v>429.04082</v>
      </c>
      <c r="G259" s="124">
        <f>D259-F259</f>
        <v>2064.9591799999998</v>
      </c>
      <c r="H259" s="124">
        <f>207.51834</f>
        <v>207.51833999999999</v>
      </c>
      <c r="I259" s="181"/>
      <c r="J259" s="118"/>
    </row>
    <row r="260" spans="1:10" ht="16.5" customHeight="1" x14ac:dyDescent="0.35">
      <c r="A260" s="70"/>
      <c r="B260" s="81"/>
      <c r="C260" s="146" t="s">
        <v>82</v>
      </c>
      <c r="D260" s="244">
        <v>5</v>
      </c>
      <c r="E260" s="168">
        <f>0</f>
        <v>0</v>
      </c>
      <c r="F260" s="168">
        <f>0.09004</f>
        <v>9.0039999999999995E-2</v>
      </c>
      <c r="G260" s="124">
        <f>D260-F260</f>
        <v>4.9099599999999999</v>
      </c>
      <c r="H260" s="168">
        <f>0.357</f>
        <v>0.35699999999999998</v>
      </c>
      <c r="I260" s="70"/>
      <c r="J260" s="247"/>
    </row>
    <row r="261" spans="1:10" ht="18.75" customHeight="1" x14ac:dyDescent="0.35">
      <c r="A261" s="70"/>
      <c r="B261" s="248"/>
      <c r="C261" s="146" t="s">
        <v>98</v>
      </c>
      <c r="D261" s="220"/>
      <c r="E261" s="168">
        <f>0</f>
        <v>0</v>
      </c>
      <c r="F261" s="168">
        <f>0.19022</f>
        <v>0.19022</v>
      </c>
      <c r="G261" s="124"/>
      <c r="H261" s="168">
        <f>0.22427</f>
        <v>0.22427</v>
      </c>
      <c r="I261" s="282"/>
      <c r="J261" s="122"/>
    </row>
    <row r="262" spans="1:10" ht="14.15" customHeight="1" x14ac:dyDescent="0.35">
      <c r="A262" s="1"/>
      <c r="B262" s="252"/>
      <c r="C262" s="179" t="s">
        <v>88</v>
      </c>
      <c r="D262" s="6">
        <f>D247</f>
        <v>3299</v>
      </c>
      <c r="E262" s="190">
        <f>SUM(E258:E261)</f>
        <v>14.408049999999999</v>
      </c>
      <c r="F262" s="190">
        <f>SUM(F258:F261)</f>
        <v>543.32429000000002</v>
      </c>
      <c r="G262" s="190">
        <f>D262-F262</f>
        <v>2755.67571</v>
      </c>
      <c r="H262" s="190">
        <f>H258+H259+H260+H261</f>
        <v>268.15651000000003</v>
      </c>
      <c r="I262" s="1"/>
      <c r="J262" s="122"/>
    </row>
    <row r="263" spans="1:10" ht="14.15" customHeight="1" x14ac:dyDescent="0.3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5" customHeight="1" x14ac:dyDescent="0.3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5" customHeight="1" x14ac:dyDescent="0.35">
      <c r="A265" s="1"/>
      <c r="C265" s="152" t="s">
        <v>120</v>
      </c>
    </row>
    <row r="266" spans="1:10" ht="14.15" customHeight="1" x14ac:dyDescent="0.35">
      <c r="A266" s="1" t="s">
        <v>120</v>
      </c>
    </row>
    <row r="267" spans="1:10" ht="14.15" customHeight="1" x14ac:dyDescent="0.35">
      <c r="A267" s="1" t="s">
        <v>120</v>
      </c>
    </row>
    <row r="268" spans="1:10" ht="14.15" customHeight="1" x14ac:dyDescent="0.35">
      <c r="A268" s="1"/>
      <c r="C268" s="152" t="s">
        <v>120</v>
      </c>
    </row>
    <row r="269" spans="1:10" ht="36" customHeight="1" x14ac:dyDescent="0.35">
      <c r="A269" s="1"/>
      <c r="C269" s="152" t="s">
        <v>120</v>
      </c>
    </row>
    <row r="270" spans="1:10" ht="14.15" customHeight="1" x14ac:dyDescent="0.35">
      <c r="A270" s="1"/>
      <c r="C270" s="152" t="s">
        <v>120</v>
      </c>
    </row>
    <row r="271" spans="1:10" ht="14.15" customHeight="1" x14ac:dyDescent="0.35">
      <c r="A271" s="1"/>
      <c r="C271" s="152" t="s">
        <v>120</v>
      </c>
    </row>
    <row r="272" spans="1:10" ht="30" customHeight="1" x14ac:dyDescent="0.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49999999999999" customHeight="1" x14ac:dyDescent="0.3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3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3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3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3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3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5" customHeight="1" x14ac:dyDescent="0.3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5" customHeight="1" x14ac:dyDescent="0.3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4" customHeight="1" x14ac:dyDescent="0.3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4" customHeight="1" x14ac:dyDescent="0.3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3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3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3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3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35">
      <c r="B287" s="74"/>
      <c r="C287" s="221" t="s">
        <v>16</v>
      </c>
      <c r="D287" s="230" t="s">
        <v>17</v>
      </c>
      <c r="E287" s="68" t="s">
        <v>106</v>
      </c>
      <c r="F287" s="221" t="s">
        <v>140</v>
      </c>
      <c r="G287" s="221" t="s">
        <v>141</v>
      </c>
      <c r="H287" s="221" t="s">
        <v>142</v>
      </c>
      <c r="I287" s="221" t="s">
        <v>143</v>
      </c>
      <c r="J287" s="132"/>
    </row>
    <row r="288" spans="1:10" ht="14.15" customHeight="1" x14ac:dyDescent="0.3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82.585599999999999</v>
      </c>
      <c r="G288" s="251">
        <f t="shared" si="14"/>
        <v>3032.0096800000001</v>
      </c>
      <c r="H288" s="251">
        <f>H292+H291+H290+H289</f>
        <v>13069.990320000001</v>
      </c>
      <c r="I288" s="251">
        <f t="shared" si="14"/>
        <v>982.59381999999994</v>
      </c>
      <c r="J288" s="132"/>
    </row>
    <row r="289" spans="1:10" ht="14.15" customHeight="1" x14ac:dyDescent="0.35">
      <c r="A289" s="216"/>
      <c r="B289" s="74"/>
      <c r="C289" s="253" t="s">
        <v>107</v>
      </c>
      <c r="D289" s="254">
        <v>6472</v>
      </c>
      <c r="E289" s="254">
        <v>8177</v>
      </c>
      <c r="F289" s="255">
        <f>0</f>
        <v>0</v>
      </c>
      <c r="G289" s="255">
        <f>1618.56418</f>
        <v>1618.5641800000001</v>
      </c>
      <c r="H289" s="255">
        <f t="shared" ref="H289:H293" si="15">E289-G289</f>
        <v>6558.4358199999997</v>
      </c>
      <c r="I289" s="255">
        <f>146.0295</f>
        <v>146.02950000000001</v>
      </c>
      <c r="J289" s="132"/>
    </row>
    <row r="290" spans="1:10" ht="14.15" customHeight="1" x14ac:dyDescent="0.35">
      <c r="A290" s="216"/>
      <c r="B290" s="74"/>
      <c r="C290" s="258" t="s">
        <v>21</v>
      </c>
      <c r="D290" s="254">
        <v>1684</v>
      </c>
      <c r="E290" s="254">
        <v>2128</v>
      </c>
      <c r="F290" s="255">
        <f>34.938</f>
        <v>34.938000000000002</v>
      </c>
      <c r="G290" s="255">
        <f>566.163</f>
        <v>566.16300000000001</v>
      </c>
      <c r="H290" s="255">
        <f t="shared" si="15"/>
        <v>1561.837</v>
      </c>
      <c r="I290" s="255">
        <f>437.3622</f>
        <v>437.36219999999997</v>
      </c>
      <c r="J290" s="132"/>
    </row>
    <row r="291" spans="1:10" ht="14.15" customHeight="1" x14ac:dyDescent="0.35">
      <c r="A291" s="216"/>
      <c r="B291" s="74"/>
      <c r="C291" s="258" t="s">
        <v>103</v>
      </c>
      <c r="D291" s="254">
        <v>1313</v>
      </c>
      <c r="E291" s="254">
        <v>1357</v>
      </c>
      <c r="F291" s="255">
        <f>43.8732</f>
        <v>43.873199999999997</v>
      </c>
      <c r="G291" s="255">
        <f>583.92205</f>
        <v>583.92205000000001</v>
      </c>
      <c r="H291" s="255">
        <f t="shared" si="15"/>
        <v>773.07794999999999</v>
      </c>
      <c r="I291" s="255">
        <f>388.11692</f>
        <v>388.11691999999999</v>
      </c>
      <c r="J291" s="132"/>
    </row>
    <row r="292" spans="1:10" ht="14.15" customHeight="1" x14ac:dyDescent="0.35">
      <c r="A292" s="216"/>
      <c r="B292" s="74"/>
      <c r="C292" s="260" t="s">
        <v>108</v>
      </c>
      <c r="D292" s="261">
        <v>4296</v>
      </c>
      <c r="E292" s="261">
        <v>4440</v>
      </c>
      <c r="F292" s="255">
        <f>3.7744</f>
        <v>3.7744</v>
      </c>
      <c r="G292" s="255">
        <f>263.36045</f>
        <v>263.36045000000001</v>
      </c>
      <c r="H292" s="255">
        <f t="shared" si="15"/>
        <v>4176.6395499999999</v>
      </c>
      <c r="I292" s="255">
        <f>11.0852</f>
        <v>11.0852</v>
      </c>
      <c r="J292" s="132"/>
    </row>
    <row r="293" spans="1:10" ht="14.15" customHeight="1" x14ac:dyDescent="0.35">
      <c r="A293" s="216"/>
      <c r="B293" s="74"/>
      <c r="C293" s="263" t="s">
        <v>60</v>
      </c>
      <c r="D293" s="264">
        <v>5500</v>
      </c>
      <c r="E293" s="264">
        <v>5500</v>
      </c>
      <c r="F293" s="266">
        <f>597.28094</f>
        <v>597.28093999999999</v>
      </c>
      <c r="G293" s="266">
        <f>616.70094</f>
        <v>616.70093999999995</v>
      </c>
      <c r="H293" s="266">
        <f t="shared" si="15"/>
        <v>4883.2990600000003</v>
      </c>
      <c r="I293" s="266">
        <f>191.05656</f>
        <v>191.05655999999999</v>
      </c>
      <c r="J293" s="132"/>
    </row>
    <row r="294" spans="1:10" ht="14.15" customHeight="1" x14ac:dyDescent="0.3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10.88456</v>
      </c>
      <c r="G294" s="267">
        <f>G296+G295</f>
        <v>1543.2219500000001</v>
      </c>
      <c r="H294" s="267">
        <f>E294-G294</f>
        <v>6456.7780499999999</v>
      </c>
      <c r="I294" s="267">
        <f>I296+I295</f>
        <v>1469.57449</v>
      </c>
      <c r="J294" s="132"/>
    </row>
    <row r="295" spans="1:10" ht="14.15" customHeight="1" x14ac:dyDescent="0.35">
      <c r="A295" s="216"/>
      <c r="B295" s="74"/>
      <c r="C295" s="258" t="s">
        <v>54</v>
      </c>
      <c r="D295" s="269"/>
      <c r="E295" s="254"/>
      <c r="F295" s="255">
        <f>0</f>
        <v>0</v>
      </c>
      <c r="G295" s="255">
        <f>742.5736</f>
        <v>742.57360000000006</v>
      </c>
      <c r="H295" s="255"/>
      <c r="I295" s="255">
        <f>889.49831</f>
        <v>889.49830999999995</v>
      </c>
      <c r="J295" s="132"/>
    </row>
    <row r="296" spans="1:10" ht="14.15" customHeight="1" x14ac:dyDescent="0.35">
      <c r="A296" s="216"/>
      <c r="B296" s="74"/>
      <c r="C296" s="271" t="s">
        <v>109</v>
      </c>
      <c r="D296" s="272"/>
      <c r="E296" s="275"/>
      <c r="F296" s="276">
        <f>10.88456</f>
        <v>10.88456</v>
      </c>
      <c r="G296" s="276">
        <f>800.64835</f>
        <v>800.64835000000005</v>
      </c>
      <c r="H296" s="276"/>
      <c r="I296" s="276">
        <f>580.07618</f>
        <v>580.07618000000002</v>
      </c>
      <c r="J296" s="132"/>
    </row>
    <row r="297" spans="1:10" ht="14.15" customHeight="1" x14ac:dyDescent="0.3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0.0567</f>
        <v>5.67E-2</v>
      </c>
      <c r="H297" s="266">
        <f>E297-G297</f>
        <v>9.9433000000000007</v>
      </c>
      <c r="I297" s="266">
        <f>0.1377</f>
        <v>0.13769999999999999</v>
      </c>
      <c r="J297" s="132"/>
    </row>
    <row r="298" spans="1:10" ht="14.15" customHeight="1" x14ac:dyDescent="0.35">
      <c r="A298" s="216"/>
      <c r="B298" s="74"/>
      <c r="C298" s="277" t="s">
        <v>110</v>
      </c>
      <c r="D298" s="280"/>
      <c r="E298" s="281"/>
      <c r="F298" s="266">
        <f>10.8564</f>
        <v>10.856400000000001</v>
      </c>
      <c r="G298" s="266">
        <f>22.82392</f>
        <v>22.823920000000001</v>
      </c>
      <c r="H298" s="266">
        <f>E298-G298</f>
        <v>-22.823920000000001</v>
      </c>
      <c r="I298" s="266">
        <f>12.92741</f>
        <v>12.92741</v>
      </c>
      <c r="J298" s="132"/>
    </row>
    <row r="299" spans="1:10" ht="19.5" customHeight="1" x14ac:dyDescent="0.3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701.60749999999996</v>
      </c>
      <c r="G299" s="285">
        <f t="shared" si="16"/>
        <v>5214.8131899999998</v>
      </c>
      <c r="H299" s="285">
        <f>H288+H293+H294+H297+H298</f>
        <v>24397.186810000003</v>
      </c>
      <c r="I299" s="285">
        <f t="shared" si="16"/>
        <v>2656.28998</v>
      </c>
      <c r="J299" s="132"/>
    </row>
    <row r="300" spans="1:10" ht="14.15" customHeight="1" x14ac:dyDescent="0.3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5" customHeight="1" x14ac:dyDescent="0.3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5" customHeight="1" x14ac:dyDescent="0.3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3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3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3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5" customHeight="1" x14ac:dyDescent="0.35">
      <c r="A306" s="216"/>
      <c r="C306" s="152" t="s">
        <v>120</v>
      </c>
      <c r="D306" s="159"/>
    </row>
    <row r="307" spans="1:10" ht="14.15" customHeight="1" x14ac:dyDescent="0.3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5" customHeight="1" x14ac:dyDescent="0.3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5" customHeight="1" x14ac:dyDescent="0.3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5" customHeight="1" x14ac:dyDescent="0.3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5" customHeight="1" x14ac:dyDescent="0.3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5" customHeight="1" x14ac:dyDescent="0.3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5" customHeight="1" x14ac:dyDescent="0.3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5" customHeight="1" x14ac:dyDescent="0.3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5" customHeight="1" x14ac:dyDescent="0.3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5" customHeight="1" x14ac:dyDescent="0.3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5" customHeight="1" x14ac:dyDescent="0.3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5" customHeight="1" x14ac:dyDescent="0.3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3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35">
      <c r="A320" s="216"/>
      <c r="B320" s="200"/>
      <c r="C320" s="20" t="s">
        <v>115</v>
      </c>
      <c r="D320" s="22" t="s">
        <v>116</v>
      </c>
      <c r="E320" s="20" t="s">
        <v>140</v>
      </c>
      <c r="F320" s="20" t="s">
        <v>141</v>
      </c>
      <c r="G320" s="25" t="s">
        <v>142</v>
      </c>
      <c r="H320" s="20" t="s">
        <v>143</v>
      </c>
      <c r="I320" s="222"/>
      <c r="J320" s="13"/>
    </row>
    <row r="321" spans="1:10" ht="14.15" customHeight="1" x14ac:dyDescent="0.35">
      <c r="A321" s="216"/>
      <c r="B321" s="74"/>
      <c r="C321" s="263" t="s">
        <v>117</v>
      </c>
      <c r="D321" s="10">
        <v>2241</v>
      </c>
      <c r="E321" s="26">
        <f>E323+E322</f>
        <v>70.937699999999992</v>
      </c>
      <c r="F321" s="26">
        <f>F323+F322</f>
        <v>1956.4069299999999</v>
      </c>
      <c r="G321" s="87">
        <f>D321-F321</f>
        <v>284.59307000000013</v>
      </c>
      <c r="H321" s="26">
        <f>SUM(H322:H323)</f>
        <v>1174.4007300000001</v>
      </c>
      <c r="I321" s="27"/>
      <c r="J321" s="132"/>
    </row>
    <row r="322" spans="1:10" ht="14.15" customHeight="1" x14ac:dyDescent="0.35">
      <c r="A322" s="216"/>
      <c r="B322" s="74"/>
      <c r="C322" s="29" t="s">
        <v>8</v>
      </c>
      <c r="D322" s="206"/>
      <c r="E322" s="207">
        <f>55.6217</f>
        <v>55.621699999999997</v>
      </c>
      <c r="F322" s="207">
        <f>1545.51913</f>
        <v>1545.5191299999999</v>
      </c>
      <c r="G322" s="208"/>
      <c r="H322" s="207">
        <f>922.51565</f>
        <v>922.51565000000005</v>
      </c>
      <c r="I322" s="152"/>
      <c r="J322" s="132"/>
    </row>
    <row r="323" spans="1:10" ht="14.15" customHeight="1" x14ac:dyDescent="0.35">
      <c r="A323" s="216"/>
      <c r="B323" s="74"/>
      <c r="C323" s="29" t="s">
        <v>11</v>
      </c>
      <c r="D323" s="209"/>
      <c r="E323" s="210">
        <f>15.316</f>
        <v>15.316000000000001</v>
      </c>
      <c r="F323" s="210">
        <f>410.8878</f>
        <v>410.88780000000003</v>
      </c>
      <c r="G323" s="211"/>
      <c r="H323" s="210">
        <f>251.88508</f>
        <v>251.88507999999999</v>
      </c>
      <c r="I323" s="152"/>
      <c r="J323" s="132"/>
    </row>
    <row r="324" spans="1:10" ht="14.15" customHeight="1" x14ac:dyDescent="0.35">
      <c r="A324" s="216"/>
      <c r="B324" s="74"/>
      <c r="C324" s="263" t="s">
        <v>118</v>
      </c>
      <c r="D324" s="10">
        <v>1120</v>
      </c>
      <c r="E324" s="26">
        <f>SUM(E325:E326)</f>
        <v>0</v>
      </c>
      <c r="F324" s="26">
        <f>SUM(F325:F326)</f>
        <v>0</v>
      </c>
      <c r="G324" s="87">
        <f>D324-F324</f>
        <v>1120</v>
      </c>
      <c r="H324" s="26">
        <f>SUM(H325:H326)</f>
        <v>0</v>
      </c>
      <c r="I324" s="27"/>
      <c r="J324" s="132"/>
    </row>
    <row r="325" spans="1:10" ht="14.15" customHeight="1" x14ac:dyDescent="0.35">
      <c r="A325" s="216"/>
      <c r="B325" s="74"/>
      <c r="C325" s="29" t="s">
        <v>8</v>
      </c>
      <c r="D325" s="44"/>
      <c r="E325" s="30">
        <f>0</f>
        <v>0</v>
      </c>
      <c r="F325" s="30">
        <f>0</f>
        <v>0</v>
      </c>
      <c r="G325" s="99"/>
      <c r="H325" s="30">
        <f>0</f>
        <v>0</v>
      </c>
      <c r="I325" s="152"/>
      <c r="J325" s="132"/>
    </row>
    <row r="326" spans="1:10" ht="14.15" customHeight="1" x14ac:dyDescent="0.35">
      <c r="A326" s="216"/>
      <c r="B326" s="74"/>
      <c r="C326" s="29" t="s">
        <v>11</v>
      </c>
      <c r="D326" s="219"/>
      <c r="E326" s="30">
        <f>0</f>
        <v>0</v>
      </c>
      <c r="F326" s="30">
        <f>0</f>
        <v>0</v>
      </c>
      <c r="G326" s="110"/>
      <c r="H326" s="30">
        <f>0</f>
        <v>0</v>
      </c>
      <c r="I326" s="152"/>
      <c r="J326" s="132"/>
    </row>
    <row r="327" spans="1:10" ht="14.15" customHeight="1" x14ac:dyDescent="0.3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5" customHeight="1" x14ac:dyDescent="0.3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5" customHeight="1" x14ac:dyDescent="0.3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5" customHeight="1" x14ac:dyDescent="0.3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5" customHeight="1" x14ac:dyDescent="0.3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70.937699999999992</v>
      </c>
      <c r="F331" s="42">
        <f>F321+F324+F327+F330</f>
        <v>1956.4069299999999</v>
      </c>
      <c r="G331" s="43">
        <f>SUM(G321:G330)</f>
        <v>1404.5930700000001</v>
      </c>
      <c r="H331" s="42">
        <f>H321+H324+H327+H330</f>
        <v>1174.4007300000001</v>
      </c>
      <c r="I331" s="27"/>
      <c r="J331" s="132"/>
    </row>
    <row r="332" spans="1:10" ht="14.15" customHeight="1" x14ac:dyDescent="0.3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5" customHeight="1" x14ac:dyDescent="0.3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35"/>
    <row r="335" spans="1:10" ht="0" hidden="1" customHeight="1" x14ac:dyDescent="0.35"/>
    <row r="336" spans="1:10" ht="0" hidden="1" customHeight="1" x14ac:dyDescent="0.35"/>
    <row r="337" ht="0" hidden="1" customHeight="1" x14ac:dyDescent="0.35"/>
    <row r="338" ht="0" hidden="1" customHeight="1" x14ac:dyDescent="0.35"/>
    <row r="339" ht="0" hidden="1" customHeight="1" x14ac:dyDescent="0.35"/>
    <row r="340" ht="0" hidden="1" customHeight="1" x14ac:dyDescent="0.35"/>
    <row r="341" ht="0" hidden="1" customHeight="1" x14ac:dyDescent="0.35"/>
    <row r="342" ht="0" hidden="1" customHeight="1" x14ac:dyDescent="0.35"/>
    <row r="343" ht="0" hidden="1" customHeight="1" x14ac:dyDescent="0.35"/>
    <row r="344" ht="0" hidden="1" customHeight="1" x14ac:dyDescent="0.35"/>
    <row r="345" ht="0" hidden="1" customHeight="1" x14ac:dyDescent="0.35"/>
    <row r="346" ht="0" hidden="1" customHeight="1" x14ac:dyDescent="0.35"/>
    <row r="347" ht="0" hidden="1" customHeight="1" x14ac:dyDescent="0.35"/>
    <row r="348" ht="0" hidden="1" customHeight="1" x14ac:dyDescent="0.35"/>
    <row r="349" ht="0" hidden="1" customHeight="1" x14ac:dyDescent="0.35"/>
    <row r="350" ht="0" hidden="1" customHeight="1" x14ac:dyDescent="0.35"/>
    <row r="351" ht="0" hidden="1" customHeight="1" x14ac:dyDescent="0.35"/>
    <row r="352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16.5" customHeight="1" x14ac:dyDescent="0.3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15&amp;R17.04.2023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2023-04-17T06:40:32Z</dcterms:modified>
</cp:coreProperties>
</file>