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2025\"/>
    </mc:Choice>
  </mc:AlternateContent>
  <xr:revisionPtr revIDLastSave="0" documentId="13_ncr:1_{DC4A9C36-A692-4E05-B233-5289FD84AF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ukesstatistikk!$B$1:$J$306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1" l="1"/>
  <c r="H303" i="1"/>
  <c r="G303" i="1"/>
  <c r="F303" i="1"/>
  <c r="E303" i="1"/>
  <c r="H302" i="1"/>
  <c r="F302" i="1"/>
  <c r="E302" i="1"/>
  <c r="H301" i="1"/>
  <c r="F301" i="1"/>
  <c r="E301" i="1"/>
  <c r="E300" i="1" s="1"/>
  <c r="H300" i="1"/>
  <c r="F300" i="1"/>
  <c r="G300" i="1" s="1"/>
  <c r="H299" i="1"/>
  <c r="F299" i="1"/>
  <c r="F297" i="1" s="1"/>
  <c r="G297" i="1" s="1"/>
  <c r="E299" i="1"/>
  <c r="H298" i="1"/>
  <c r="F298" i="1"/>
  <c r="E298" i="1"/>
  <c r="H297" i="1"/>
  <c r="E297" i="1"/>
  <c r="H296" i="1"/>
  <c r="H294" i="1" s="1"/>
  <c r="H304" i="1" s="1"/>
  <c r="F296" i="1"/>
  <c r="F294" i="1" s="1"/>
  <c r="E296" i="1"/>
  <c r="H295" i="1"/>
  <c r="F295" i="1"/>
  <c r="E295" i="1"/>
  <c r="E294" i="1" s="1"/>
  <c r="E304" i="1" s="1"/>
  <c r="I272" i="1"/>
  <c r="H272" i="1"/>
  <c r="G272" i="1"/>
  <c r="F272" i="1"/>
  <c r="I271" i="1"/>
  <c r="H271" i="1"/>
  <c r="G271" i="1"/>
  <c r="F271" i="1"/>
  <c r="I270" i="1"/>
  <c r="G270" i="1"/>
  <c r="F270" i="1"/>
  <c r="I269" i="1"/>
  <c r="G269" i="1"/>
  <c r="F269" i="1"/>
  <c r="I268" i="1"/>
  <c r="G268" i="1"/>
  <c r="H268" i="1" s="1"/>
  <c r="F268" i="1"/>
  <c r="I267" i="1"/>
  <c r="H267" i="1"/>
  <c r="G267" i="1"/>
  <c r="F267" i="1"/>
  <c r="I266" i="1"/>
  <c r="I262" i="1" s="1"/>
  <c r="I273" i="1" s="1"/>
  <c r="H266" i="1"/>
  <c r="G266" i="1"/>
  <c r="F266" i="1"/>
  <c r="I265" i="1"/>
  <c r="G265" i="1"/>
  <c r="G262" i="1" s="1"/>
  <c r="G273" i="1" s="1"/>
  <c r="F265" i="1"/>
  <c r="F262" i="1" s="1"/>
  <c r="F273" i="1" s="1"/>
  <c r="I264" i="1"/>
  <c r="H264" i="1"/>
  <c r="G264" i="1"/>
  <c r="F264" i="1"/>
  <c r="I263" i="1"/>
  <c r="G263" i="1"/>
  <c r="H263" i="1" s="1"/>
  <c r="F263" i="1"/>
  <c r="E262" i="1"/>
  <c r="E273" i="1" s="1"/>
  <c r="D262" i="1"/>
  <c r="D273" i="1" s="1"/>
  <c r="H254" i="1"/>
  <c r="F254" i="1"/>
  <c r="D251" i="1"/>
  <c r="D250" i="1"/>
  <c r="H241" i="1"/>
  <c r="D241" i="1"/>
  <c r="G241" i="1" s="1"/>
  <c r="H240" i="1"/>
  <c r="F240" i="1"/>
  <c r="G240" i="1" s="1"/>
  <c r="E240" i="1"/>
  <c r="H239" i="1"/>
  <c r="F239" i="1"/>
  <c r="F241" i="1" s="1"/>
  <c r="E239" i="1"/>
  <c r="H238" i="1"/>
  <c r="G238" i="1"/>
  <c r="F238" i="1"/>
  <c r="E238" i="1"/>
  <c r="H237" i="1"/>
  <c r="F237" i="1"/>
  <c r="G237" i="1" s="1"/>
  <c r="E237" i="1"/>
  <c r="E241" i="1" s="1"/>
  <c r="D230" i="1"/>
  <c r="D219" i="1"/>
  <c r="H218" i="1"/>
  <c r="G218" i="1"/>
  <c r="F218" i="1"/>
  <c r="E218" i="1"/>
  <c r="H217" i="1"/>
  <c r="F217" i="1"/>
  <c r="E217" i="1"/>
  <c r="H216" i="1"/>
  <c r="F216" i="1"/>
  <c r="E216" i="1"/>
  <c r="H215" i="1"/>
  <c r="H219" i="1" s="1"/>
  <c r="F215" i="1"/>
  <c r="F219" i="1" s="1"/>
  <c r="G219" i="1" s="1"/>
  <c r="E215" i="1"/>
  <c r="E219" i="1" s="1"/>
  <c r="D206" i="1"/>
  <c r="H205" i="1"/>
  <c r="F205" i="1"/>
  <c r="G205" i="1" s="1"/>
  <c r="E205" i="1"/>
  <c r="H204" i="1"/>
  <c r="F204" i="1"/>
  <c r="E204" i="1"/>
  <c r="H203" i="1"/>
  <c r="F203" i="1"/>
  <c r="F202" i="1" s="1"/>
  <c r="E203" i="1"/>
  <c r="E202" i="1" s="1"/>
  <c r="E206" i="1" s="1"/>
  <c r="H202" i="1"/>
  <c r="H206" i="1" s="1"/>
  <c r="E192" i="1"/>
  <c r="D192" i="1"/>
  <c r="I191" i="1"/>
  <c r="G191" i="1"/>
  <c r="H191" i="1" s="1"/>
  <c r="F191" i="1"/>
  <c r="F192" i="1" s="1"/>
  <c r="I190" i="1"/>
  <c r="G190" i="1"/>
  <c r="H190" i="1" s="1"/>
  <c r="F190" i="1"/>
  <c r="I189" i="1"/>
  <c r="I192" i="1" s="1"/>
  <c r="G189" i="1"/>
  <c r="H189" i="1" s="1"/>
  <c r="F18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E165" i="1"/>
  <c r="E163" i="1" s="1"/>
  <c r="H164" i="1"/>
  <c r="H163" i="1" s="1"/>
  <c r="F164" i="1"/>
  <c r="F163" i="1" s="1"/>
  <c r="G163" i="1" s="1"/>
  <c r="E164" i="1"/>
  <c r="H162" i="1"/>
  <c r="F162" i="1"/>
  <c r="G162" i="1" s="1"/>
  <c r="E162" i="1"/>
  <c r="H161" i="1"/>
  <c r="F161" i="1"/>
  <c r="E161" i="1"/>
  <c r="H160" i="1"/>
  <c r="G160" i="1"/>
  <c r="F160" i="1"/>
  <c r="E160" i="1"/>
  <c r="I135" i="1"/>
  <c r="G135" i="1"/>
  <c r="H135" i="1" s="1"/>
  <c r="F135" i="1"/>
  <c r="I134" i="1"/>
  <c r="H134" i="1"/>
  <c r="G134" i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H129" i="1"/>
  <c r="G129" i="1"/>
  <c r="F129" i="1"/>
  <c r="I128" i="1"/>
  <c r="G128" i="1"/>
  <c r="H128" i="1" s="1"/>
  <c r="F128" i="1"/>
  <c r="I127" i="1"/>
  <c r="G127" i="1"/>
  <c r="G126" i="1" s="1"/>
  <c r="F127" i="1"/>
  <c r="F126" i="1" s="1"/>
  <c r="I126" i="1"/>
  <c r="E126" i="1"/>
  <c r="D126" i="1"/>
  <c r="I125" i="1"/>
  <c r="G125" i="1"/>
  <c r="H125" i="1" s="1"/>
  <c r="F125" i="1"/>
  <c r="I124" i="1"/>
  <c r="G124" i="1"/>
  <c r="H124" i="1" s="1"/>
  <c r="F124" i="1"/>
  <c r="F121" i="1" s="1"/>
  <c r="I123" i="1"/>
  <c r="I121" i="1" s="1"/>
  <c r="I120" i="1" s="1"/>
  <c r="G123" i="1"/>
  <c r="H123" i="1" s="1"/>
  <c r="F123" i="1"/>
  <c r="I122" i="1"/>
  <c r="G122" i="1"/>
  <c r="H122" i="1" s="1"/>
  <c r="F122" i="1"/>
  <c r="E121" i="1"/>
  <c r="E120" i="1" s="1"/>
  <c r="D121" i="1"/>
  <c r="D120" i="1" s="1"/>
  <c r="I119" i="1"/>
  <c r="G119" i="1"/>
  <c r="H119" i="1" s="1"/>
  <c r="F119" i="1"/>
  <c r="I118" i="1"/>
  <c r="G118" i="1"/>
  <c r="H118" i="1" s="1"/>
  <c r="F118" i="1"/>
  <c r="F115" i="1" s="1"/>
  <c r="I117" i="1"/>
  <c r="I115" i="1" s="1"/>
  <c r="I137" i="1" s="1"/>
  <c r="G117" i="1"/>
  <c r="H117" i="1" s="1"/>
  <c r="F117" i="1"/>
  <c r="I116" i="1"/>
  <c r="G116" i="1"/>
  <c r="H116" i="1" s="1"/>
  <c r="F116" i="1"/>
  <c r="E115" i="1"/>
  <c r="E137" i="1" s="1"/>
  <c r="D115" i="1"/>
  <c r="D137" i="1" s="1"/>
  <c r="C113" i="1"/>
  <c r="I93" i="1"/>
  <c r="G93" i="1"/>
  <c r="H93" i="1" s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G89" i="1"/>
  <c r="H89" i="1" s="1"/>
  <c r="F89" i="1"/>
  <c r="I88" i="1"/>
  <c r="H88" i="1"/>
  <c r="G88" i="1"/>
  <c r="F88" i="1"/>
  <c r="I87" i="1"/>
  <c r="G87" i="1"/>
  <c r="H87" i="1" s="1"/>
  <c r="F87" i="1"/>
  <c r="I86" i="1"/>
  <c r="G86" i="1"/>
  <c r="H86" i="1" s="1"/>
  <c r="F86" i="1"/>
  <c r="I85" i="1"/>
  <c r="I83" i="1" s="1"/>
  <c r="I82" i="1" s="1"/>
  <c r="G85" i="1"/>
  <c r="G83" i="1" s="1"/>
  <c r="G82" i="1" s="1"/>
  <c r="F85" i="1"/>
  <c r="F83" i="1" s="1"/>
  <c r="F82" i="1" s="1"/>
  <c r="I84" i="1"/>
  <c r="H84" i="1"/>
  <c r="G84" i="1"/>
  <c r="F84" i="1"/>
  <c r="E83" i="1"/>
  <c r="E82" i="1" s="1"/>
  <c r="E94" i="1" s="1"/>
  <c r="D83" i="1"/>
  <c r="D82" i="1" s="1"/>
  <c r="D94" i="1" s="1"/>
  <c r="I81" i="1"/>
  <c r="G81" i="1"/>
  <c r="H81" i="1" s="1"/>
  <c r="F81" i="1"/>
  <c r="I80" i="1"/>
  <c r="G80" i="1"/>
  <c r="H80" i="1" s="1"/>
  <c r="F80" i="1"/>
  <c r="I79" i="1"/>
  <c r="I94" i="1" s="1"/>
  <c r="G79" i="1"/>
  <c r="G94" i="1" s="1"/>
  <c r="F79" i="1"/>
  <c r="F94" i="1" s="1"/>
  <c r="E79" i="1"/>
  <c r="D79" i="1"/>
  <c r="C76" i="1"/>
  <c r="H72" i="1"/>
  <c r="F72" i="1"/>
  <c r="D72" i="1"/>
  <c r="H58" i="1"/>
  <c r="H57" i="1"/>
  <c r="I52" i="1"/>
  <c r="I31" i="1" s="1"/>
  <c r="G52" i="1"/>
  <c r="G31" i="1" s="1"/>
  <c r="F52" i="1"/>
  <c r="F31" i="1" s="1"/>
  <c r="I41" i="1"/>
  <c r="G41" i="1"/>
  <c r="H41" i="1" s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G34" i="1"/>
  <c r="H34" i="1" s="1"/>
  <c r="F34" i="1"/>
  <c r="I33" i="1"/>
  <c r="F33" i="1"/>
  <c r="E33" i="1"/>
  <c r="D33" i="1"/>
  <c r="D25" i="1" s="1"/>
  <c r="I32" i="1"/>
  <c r="H32" i="1"/>
  <c r="G32" i="1"/>
  <c r="F32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H27" i="1" s="1"/>
  <c r="F27" i="1"/>
  <c r="E26" i="1"/>
  <c r="D26" i="1"/>
  <c r="I24" i="1"/>
  <c r="I22" i="1" s="1"/>
  <c r="G24" i="1"/>
  <c r="H24" i="1" s="1"/>
  <c r="H22" i="1" s="1"/>
  <c r="F24" i="1"/>
  <c r="F22" i="1" s="1"/>
  <c r="I23" i="1"/>
  <c r="H23" i="1"/>
  <c r="G23" i="1"/>
  <c r="F23" i="1"/>
  <c r="E22" i="1"/>
  <c r="D22" i="1"/>
  <c r="D42" i="1" s="1"/>
  <c r="H16" i="1"/>
  <c r="F16" i="1"/>
  <c r="D16" i="1"/>
  <c r="G33" i="1" l="1"/>
  <c r="H33" i="1" s="1"/>
  <c r="F26" i="1"/>
  <c r="F25" i="1" s="1"/>
  <c r="F42" i="1" s="1"/>
  <c r="E42" i="1"/>
  <c r="F206" i="1"/>
  <c r="G206" i="1" s="1"/>
  <c r="G202" i="1"/>
  <c r="F304" i="1"/>
  <c r="G304" i="1" s="1"/>
  <c r="G294" i="1"/>
  <c r="H31" i="1"/>
  <c r="H26" i="1" s="1"/>
  <c r="G26" i="1"/>
  <c r="G25" i="1" s="1"/>
  <c r="I26" i="1"/>
  <c r="I25" i="1" s="1"/>
  <c r="I42" i="1" s="1"/>
  <c r="H115" i="1"/>
  <c r="H121" i="1"/>
  <c r="H79" i="1"/>
  <c r="H169" i="1"/>
  <c r="E169" i="1"/>
  <c r="F169" i="1"/>
  <c r="G169" i="1" s="1"/>
  <c r="F120" i="1"/>
  <c r="F137" i="1" s="1"/>
  <c r="G115" i="1"/>
  <c r="G121" i="1"/>
  <c r="G120" i="1" s="1"/>
  <c r="G215" i="1"/>
  <c r="E25" i="1"/>
  <c r="H265" i="1"/>
  <c r="H262" i="1" s="1"/>
  <c r="H273" i="1" s="1"/>
  <c r="G192" i="1"/>
  <c r="H192" i="1" s="1"/>
  <c r="G22" i="1"/>
  <c r="G239" i="1"/>
  <c r="H85" i="1"/>
  <c r="H83" i="1" s="1"/>
  <c r="H82" i="1" s="1"/>
  <c r="H127" i="1"/>
  <c r="H126" i="1" s="1"/>
  <c r="H52" i="1"/>
  <c r="H25" i="1" l="1"/>
  <c r="H42" i="1" s="1"/>
  <c r="G137" i="1"/>
  <c r="H94" i="1"/>
  <c r="G42" i="1"/>
  <c r="H120" i="1"/>
  <c r="H137" i="1"/>
</calcChain>
</file>

<file path=xl/sharedStrings.xml><?xml version="1.0" encoding="utf-8"?>
<sst xmlns="http://schemas.openxmlformats.org/spreadsheetml/2006/main" count="351" uniqueCount="154">
  <si>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</si>
  <si>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</si>
  <si>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</si>
  <si>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</si>
  <si>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</si>
  <si>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</si>
  <si>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</si>
  <si>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</si>
  <si>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</si>
  <si>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</si>
  <si>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</si>
  <si>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</si>
  <si>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</si>
  <si>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</si>
  <si>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</si>
  <si>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</si>
  <si>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</si>
  <si>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</si>
  <si>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</si>
  <si>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</si>
  <si>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</si>
  <si>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</si>
  <si>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</si>
  <si>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</si>
  <si>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</si>
  <si>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</si>
  <si>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</si>
  <si>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</si>
  <si>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</si>
  <si>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</si>
  <si>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</si>
  <si>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</si>
  <si>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</si>
  <si>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</si>
  <si>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</si>
  <si>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</si>
  <si>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</si>
  <si>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</si>
  <si>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</si>
  <si>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</si>
  <si>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</si>
  <si>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</si>
  <si>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</si>
  <si>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</si>
  <si>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</si>
  <si>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</si>
  <si>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</si>
  <si>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</si>
  <si>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</si>
  <si>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</si>
  <si>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</si>
  <si>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</si>
  <si>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</si>
  <si>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</si>
  <si>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</si>
  <si>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</si>
  <si>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</si>
  <si>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</si>
  <si>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</si>
  <si>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</si>
  <si>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</si>
  <si>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</si>
  <si>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</si>
  <si>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</si>
  <si>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</si>
  <si>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</si>
  <si>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</si>
  <si>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</si>
  <si>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</si>
  <si>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</si>
  <si>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</si>
  <si>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</si>
  <si>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</si>
  <si>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</si>
  <si>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</si>
  <si>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</si>
  <si>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</si>
  <si>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</si>
  <si>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</si>
  <si>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</si>
  <si>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</si>
  <si>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</si>
  <si>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</si>
  <si>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</si>
  <si>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</si>
  <si>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</si>
  <si>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</si>
  <si>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</si>
  <si>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</si>
  <si>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</si>
  <si>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</si>
  <si>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</si>
  <si>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</si>
  <si>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</si>
  <si>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</si>
  <si>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</si>
  <si>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</si>
  <si>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</si>
  <si>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</si>
  <si>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</si>
  <si>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</si>
  <si>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</si>
  <si>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</si>
  <si>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</si>
  <si>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</si>
  <si>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</si>
  <si>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</si>
  <si>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</si>
  <si>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</si>
  <si>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</si>
  <si>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</si>
  <si>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</si>
  <si>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</si>
  <si>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</si>
  <si>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</si>
  <si>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</si>
  <si>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</si>
  <si>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</si>
  <si>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</si>
  <si>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</si>
  <si>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</si>
  <si>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</si>
  <si>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</si>
  <si>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</si>
  <si>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</si>
  <si>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</si>
  <si>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</si>
  <si>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</si>
  <si>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</si>
  <si>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</si>
  <si>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</si>
  <si>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</si>
  <si>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</si>
  <si>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</si>
  <si>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</si>
  <si>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</si>
  <si>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</si>
  <si>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</si>
  <si>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</si>
  <si>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</si>
  <si>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</si>
  <si>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</si>
  <si>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</si>
  <si>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</si>
  <si>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</si>
  <si>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</si>
  <si>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2 Registrert rekreasjonsfiske utgjør 34 tonn, men det legges til grunn at hele avsetningen tas</t>
  </si>
  <si>
    <t>4 Registrert rekreasjonsfiske utgjør 106 tonn, men det legges til grunn at hele avsetningen tas</t>
  </si>
  <si>
    <t>3 Registrert rekreasjonsfiske utgjør 440 tonn, men det legges til grunn at hele avsetningen tas</t>
  </si>
  <si>
    <t>FANGST UKE 17</t>
  </si>
  <si>
    <t>FANGST T.O.M UKE 17</t>
  </si>
  <si>
    <t>RESTKVOTER UKE 17</t>
  </si>
  <si>
    <t>FANGST T.O.M UKE 17 2024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</si>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</sst>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28" fillId="0" borderId="0" xfId="0" applyFont="1"/>
    <xf numFmtId="0" fontId="29" fillId="0" borderId="6" xfId="0" applyFont="1" applyBorder="1" applyAlignment="1">
      <alignment vertical="center"/>
    </xf>
    <xf numFmtId="3" fontId="7" fillId="0" borderId="44" xfId="0" applyNumberFormat="1" applyFont="1" applyBorder="1" applyAlignment="1">
      <alignment horizontal="right" vertical="center"/>
    </xf>
    <xf numFmtId="3" fontId="1" fillId="0" borderId="36" xfId="0" applyNumberFormat="1" applyFont="1" applyBorder="1" applyAlignment="1">
      <alignment horizontal="right" vertical="center" indent="1"/>
    </xf>
    <xf numFmtId="0" fontId="2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50" xfId="0" applyNumberFormat="1" applyFont="1" applyBorder="1" applyAlignment="1">
      <alignment horizontal="right" vertical="center" wrapText="1"/>
    </xf>
    <xf numFmtId="3" fontId="17" fillId="0" borderId="50" xfId="0" applyNumberFormat="1" applyFont="1" applyBorder="1" applyAlignment="1">
      <alignment horizontal="right" vertical="center" wrapText="1"/>
    </xf>
    <xf numFmtId="0" fontId="28" fillId="0" borderId="0" xfId="0" applyFont="1" applyAlignment="1">
      <alignment vertical="center"/>
    </xf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50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9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7" fillId="0" borderId="46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491"/>
  <sheetViews>
    <sheetView showGridLines="0" tabSelected="1" showRuler="0" zoomScale="101" zoomScaleNormal="55" zoomScaleSheetLayoutView="100" zoomScalePageLayoutView="85" workbookViewId="0"/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123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20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5"/>
      <c r="C10" s="1"/>
      <c r="D10" s="1"/>
      <c r="E10" s="1"/>
      <c r="F10" s="1"/>
      <c r="G10" s="1"/>
      <c r="H10" s="1"/>
      <c r="I10" s="1"/>
      <c r="J10" s="117"/>
    </row>
    <row r="11" spans="1:10" ht="14.1" customHeight="1" x14ac:dyDescent="0.25">
      <c r="A11" s="152"/>
      <c r="B11" s="50"/>
      <c r="C11" s="297" t="s">
        <v>1</v>
      </c>
      <c r="D11" s="298"/>
      <c r="E11" s="297" t="s">
        <v>2</v>
      </c>
      <c r="F11" s="298"/>
      <c r="G11" s="297" t="s">
        <v>3</v>
      </c>
      <c r="H11" s="298"/>
      <c r="I11" s="173"/>
      <c r="J11" s="245"/>
    </row>
    <row r="12" spans="1:10" ht="14.1" customHeight="1" x14ac:dyDescent="0.25">
      <c r="A12" s="1"/>
      <c r="B12" s="255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45"/>
    </row>
    <row r="13" spans="1:10" ht="15.75" customHeight="1" x14ac:dyDescent="0.25">
      <c r="A13" s="1"/>
      <c r="B13" s="255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45"/>
    </row>
    <row r="14" spans="1:10" ht="14.25" customHeight="1" x14ac:dyDescent="0.25">
      <c r="A14" s="1"/>
      <c r="B14" s="255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45"/>
    </row>
    <row r="15" spans="1:10" ht="15.75" customHeight="1" x14ac:dyDescent="0.25">
      <c r="A15" s="1"/>
      <c r="B15" s="255"/>
      <c r="C15" s="110" t="s">
        <v>73</v>
      </c>
      <c r="D15" s="114">
        <v>46128</v>
      </c>
      <c r="E15" s="161"/>
      <c r="F15" s="214"/>
      <c r="G15" s="161" t="s">
        <v>12</v>
      </c>
      <c r="H15" s="214">
        <v>8832</v>
      </c>
      <c r="I15" s="173"/>
      <c r="J15" s="245"/>
    </row>
    <row r="16" spans="1:10" ht="14.1" customHeight="1" x14ac:dyDescent="0.25">
      <c r="A16" s="1"/>
      <c r="B16" s="255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45"/>
    </row>
    <row r="17" spans="1:10" x14ac:dyDescent="0.25">
      <c r="A17" s="101"/>
      <c r="B17" s="24"/>
      <c r="C17" s="301" t="s">
        <v>144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55"/>
      <c r="C18" s="216"/>
      <c r="D18" s="216"/>
      <c r="E18" s="217"/>
      <c r="F18" s="216"/>
      <c r="G18" s="216"/>
      <c r="H18" s="216"/>
      <c r="I18" s="216"/>
      <c r="J18" s="290"/>
    </row>
    <row r="19" spans="1:10" ht="15" customHeight="1" x14ac:dyDescent="0.25">
      <c r="A19" s="1"/>
      <c r="B19" s="255"/>
      <c r="C19" s="17" t="s">
        <v>15</v>
      </c>
      <c r="D19" s="216"/>
      <c r="E19" s="217"/>
      <c r="F19" s="216"/>
      <c r="G19" s="216"/>
      <c r="H19" s="196"/>
      <c r="I19" s="216"/>
      <c r="J19" s="290"/>
    </row>
    <row r="20" spans="1:10" ht="12" customHeight="1" x14ac:dyDescent="0.25">
      <c r="A20" s="1"/>
      <c r="B20" s="255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2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149</v>
      </c>
      <c r="G21" s="68" t="s">
        <v>150</v>
      </c>
      <c r="H21" s="68" t="s">
        <v>151</v>
      </c>
      <c r="I21" s="68" t="s">
        <v>152</v>
      </c>
      <c r="J21" s="279"/>
    </row>
    <row r="22" spans="1:10" ht="14.1" customHeight="1" x14ac:dyDescent="0.25">
      <c r="A22" s="1"/>
      <c r="B22" s="255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347.75058999999999</v>
      </c>
      <c r="G22" s="27">
        <f t="shared" si="0"/>
        <v>16164.921539999999</v>
      </c>
      <c r="H22" s="10">
        <f t="shared" si="0"/>
        <v>25421.078460000001</v>
      </c>
      <c r="I22" s="10">
        <f t="shared" si="0"/>
        <v>34814.408239999997</v>
      </c>
      <c r="J22" s="245"/>
    </row>
    <row r="23" spans="1:10" ht="14.1" customHeight="1" x14ac:dyDescent="0.25">
      <c r="A23" s="1"/>
      <c r="B23" s="255"/>
      <c r="C23" s="43" t="s">
        <v>20</v>
      </c>
      <c r="D23" s="44">
        <v>38040</v>
      </c>
      <c r="E23" s="44">
        <v>40823</v>
      </c>
      <c r="F23" s="22">
        <f>305.46859</f>
        <v>305.46859000000001</v>
      </c>
      <c r="G23" s="22">
        <f>15931.98804</f>
        <v>15931.98804</v>
      </c>
      <c r="H23" s="22">
        <f>E23-G23</f>
        <v>24891.01196</v>
      </c>
      <c r="I23" s="22">
        <f>34414.95566</f>
        <v>34414.95566</v>
      </c>
      <c r="J23" s="245"/>
    </row>
    <row r="24" spans="1:10" ht="14.1" customHeight="1" x14ac:dyDescent="0.25">
      <c r="A24" s="1"/>
      <c r="B24" s="255"/>
      <c r="C24" s="47" t="s">
        <v>21</v>
      </c>
      <c r="D24" s="218">
        <v>750</v>
      </c>
      <c r="E24" s="218">
        <v>763</v>
      </c>
      <c r="F24" s="165">
        <f>42.282</f>
        <v>42.281999999999996</v>
      </c>
      <c r="G24" s="22">
        <f>232.9335</f>
        <v>232.93350000000001</v>
      </c>
      <c r="H24" s="22">
        <f>E24-G24</f>
        <v>530.06650000000002</v>
      </c>
      <c r="I24" s="22">
        <f>399.45258</f>
        <v>399.45258000000001</v>
      </c>
      <c r="J24" s="245"/>
    </row>
    <row r="25" spans="1:10" ht="14.1" customHeight="1" x14ac:dyDescent="0.25">
      <c r="A25" s="1"/>
      <c r="B25" s="255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2530.9187099999999</v>
      </c>
      <c r="G25" s="10">
        <f t="shared" si="1"/>
        <v>89233.866190000001</v>
      </c>
      <c r="H25" s="10">
        <f t="shared" si="1"/>
        <v>32434.133809999999</v>
      </c>
      <c r="I25" s="10">
        <f t="shared" si="1"/>
        <v>107569.72096000001</v>
      </c>
      <c r="J25" s="245"/>
    </row>
    <row r="26" spans="1:10" ht="15" customHeight="1" x14ac:dyDescent="0.2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1440.3502800000001</v>
      </c>
      <c r="G26" s="129">
        <f>G27+G28+G29+G30+G31</f>
        <v>72095.282560000007</v>
      </c>
      <c r="H26" s="129">
        <f t="shared" ref="H26:I26" si="2">H27+H28+H29+H30+H31</f>
        <v>22797.71744</v>
      </c>
      <c r="I26" s="129">
        <f t="shared" si="2"/>
        <v>87886.623529999997</v>
      </c>
      <c r="J26" s="245"/>
    </row>
    <row r="27" spans="1:10" ht="14.1" customHeight="1" x14ac:dyDescent="0.25">
      <c r="A27" s="192"/>
      <c r="B27" s="176"/>
      <c r="C27" s="60" t="s">
        <v>24</v>
      </c>
      <c r="D27" s="61">
        <v>22698</v>
      </c>
      <c r="E27" s="61">
        <v>25153</v>
      </c>
      <c r="F27" s="209">
        <f>562.08743 - F55</f>
        <v>562.08743000000004</v>
      </c>
      <c r="G27" s="123">
        <f>21044.50205 - G55</f>
        <v>21044.502049999999</v>
      </c>
      <c r="H27" s="123">
        <f t="shared" ref="H27:H39" si="3">E27-G27</f>
        <v>4108.4979500000009</v>
      </c>
      <c r="I27" s="123">
        <f>24269.85705 - I55</f>
        <v>24269.857049999999</v>
      </c>
      <c r="J27" s="63"/>
    </row>
    <row r="28" spans="1:10" ht="14.1" customHeight="1" x14ac:dyDescent="0.25">
      <c r="A28" s="192"/>
      <c r="B28" s="176"/>
      <c r="C28" s="60" t="s">
        <v>25</v>
      </c>
      <c r="D28" s="61">
        <v>22717</v>
      </c>
      <c r="E28" s="61">
        <v>23994</v>
      </c>
      <c r="F28" s="123">
        <f>308.03591 - F56</f>
        <v>308.03591</v>
      </c>
      <c r="G28" s="123">
        <f>20864.51003 - G56</f>
        <v>20864.510030000001</v>
      </c>
      <c r="H28" s="123">
        <f t="shared" si="3"/>
        <v>3129.4899699999987</v>
      </c>
      <c r="I28" s="123">
        <f>25677.2332 - I56</f>
        <v>25677.233199999999</v>
      </c>
      <c r="J28" s="63"/>
    </row>
    <row r="29" spans="1:10" ht="14.1" customHeight="1" x14ac:dyDescent="0.25">
      <c r="A29" s="192"/>
      <c r="B29" s="176"/>
      <c r="C29" s="60" t="s">
        <v>26</v>
      </c>
      <c r="D29" s="61">
        <v>20660</v>
      </c>
      <c r="E29" s="61">
        <v>21870</v>
      </c>
      <c r="F29" s="123">
        <f>307.33068 - F57</f>
        <v>307.33067999999997</v>
      </c>
      <c r="G29" s="123">
        <f>18741.38993 - G57</f>
        <v>18741.389930000001</v>
      </c>
      <c r="H29" s="123">
        <f t="shared" si="3"/>
        <v>3128.6100699999988</v>
      </c>
      <c r="I29" s="123">
        <f>22792.02927 - I57</f>
        <v>22792.029269999999</v>
      </c>
      <c r="J29" s="63"/>
    </row>
    <row r="30" spans="1:10" ht="14.1" customHeight="1" x14ac:dyDescent="0.25">
      <c r="A30" s="192"/>
      <c r="B30" s="176"/>
      <c r="C30" s="60" t="s">
        <v>27</v>
      </c>
      <c r="D30" s="61">
        <v>15189</v>
      </c>
      <c r="E30" s="61">
        <v>15645</v>
      </c>
      <c r="F30" s="123">
        <f>337.89626 - F58</f>
        <v>262.89625999999998</v>
      </c>
      <c r="G30" s="123">
        <f>12860.88055 - G58</f>
        <v>11444.88055</v>
      </c>
      <c r="H30" s="123">
        <f t="shared" si="3"/>
        <v>4200.1194500000001</v>
      </c>
      <c r="I30" s="123">
        <f>17275.50401 - I58</f>
        <v>15147.504010000001</v>
      </c>
      <c r="J30" s="63"/>
    </row>
    <row r="31" spans="1:10" ht="14.1" customHeight="1" x14ac:dyDescent="0.2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" customHeight="1" x14ac:dyDescent="0.25">
      <c r="A32" s="64"/>
      <c r="B32" s="51"/>
      <c r="C32" s="54" t="s">
        <v>29</v>
      </c>
      <c r="D32" s="55">
        <v>12692</v>
      </c>
      <c r="E32" s="55">
        <v>13679</v>
      </c>
      <c r="F32" s="129">
        <f>655.22407</f>
        <v>655.22406999999998</v>
      </c>
      <c r="G32" s="129">
        <f>6162.96218</f>
        <v>6162.9621800000004</v>
      </c>
      <c r="H32" s="129">
        <f t="shared" si="3"/>
        <v>7516.0378199999996</v>
      </c>
      <c r="I32" s="129">
        <f>7425.97696</f>
        <v>7425.97696</v>
      </c>
      <c r="J32" s="63"/>
    </row>
    <row r="33" spans="1:10" ht="14.1" customHeight="1" x14ac:dyDescent="0.2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435.34435999999999</v>
      </c>
      <c r="G33" s="129">
        <f>G34+G35</f>
        <v>10975.621450000001</v>
      </c>
      <c r="H33" s="129">
        <f t="shared" si="3"/>
        <v>2120.3785499999994</v>
      </c>
      <c r="I33" s="129">
        <f>I34+I35</f>
        <v>12257.12047</v>
      </c>
      <c r="J33" s="63"/>
    </row>
    <row r="34" spans="1:10" ht="14.1" customHeight="1" x14ac:dyDescent="0.25">
      <c r="A34" s="192"/>
      <c r="B34" s="176"/>
      <c r="C34" s="60" t="s">
        <v>31</v>
      </c>
      <c r="D34" s="61">
        <v>9874</v>
      </c>
      <c r="E34" s="61">
        <v>12136</v>
      </c>
      <c r="F34" s="123">
        <f>435.34436 - F59 - F60</f>
        <v>435.34435999999999</v>
      </c>
      <c r="G34" s="129">
        <f>10975.62145 - G59 - G60</f>
        <v>10975.621450000001</v>
      </c>
      <c r="H34" s="123">
        <f t="shared" si="3"/>
        <v>1160.3785499999994</v>
      </c>
      <c r="I34" s="123">
        <f>12257.12047 - I59 - I60</f>
        <v>12257.12047</v>
      </c>
      <c r="J34" s="63"/>
    </row>
    <row r="35" spans="1:10" ht="14.1" customHeight="1" x14ac:dyDescent="0.25">
      <c r="A35" s="192"/>
      <c r="B35" s="176"/>
      <c r="C35" s="66" t="s">
        <v>32</v>
      </c>
      <c r="D35" s="219">
        <v>960</v>
      </c>
      <c r="E35" s="219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25">
      <c r="A36" s="1"/>
      <c r="B36" s="255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93.6954</f>
        <v>93.695400000000006</v>
      </c>
      <c r="H36" s="136">
        <f t="shared" si="3"/>
        <v>906.30459999999994</v>
      </c>
      <c r="I36" s="136">
        <f>344.7692</f>
        <v>344.76920000000001</v>
      </c>
      <c r="J36" s="245"/>
    </row>
    <row r="37" spans="1:10" ht="14.1" customHeight="1" x14ac:dyDescent="0.25">
      <c r="A37" s="1"/>
      <c r="B37" s="255"/>
      <c r="C37" s="70" t="s">
        <v>34</v>
      </c>
      <c r="D37" s="140">
        <v>855</v>
      </c>
      <c r="E37" s="140">
        <v>855</v>
      </c>
      <c r="F37" s="95">
        <f>15.68755</f>
        <v>15.68755</v>
      </c>
      <c r="G37" s="95">
        <f>521.61773</f>
        <v>521.61773000000005</v>
      </c>
      <c r="H37" s="95">
        <f t="shared" si="3"/>
        <v>333.38226999999995</v>
      </c>
      <c r="I37" s="95">
        <f>436.95271</f>
        <v>436.95271000000002</v>
      </c>
      <c r="J37" s="245"/>
    </row>
    <row r="38" spans="1:10" ht="17.25" customHeight="1" x14ac:dyDescent="0.25">
      <c r="A38" s="1"/>
      <c r="B38" s="255"/>
      <c r="C38" s="70" t="s">
        <v>35</v>
      </c>
      <c r="D38" s="140">
        <v>3000</v>
      </c>
      <c r="E38" s="140">
        <v>3000</v>
      </c>
      <c r="F38" s="95">
        <f>F58</f>
        <v>75</v>
      </c>
      <c r="G38" s="95">
        <f>G58</f>
        <v>1416</v>
      </c>
      <c r="H38" s="95">
        <f t="shared" si="3"/>
        <v>1584</v>
      </c>
      <c r="I38" s="95">
        <f>I58</f>
        <v>2128</v>
      </c>
      <c r="J38" s="245"/>
    </row>
    <row r="39" spans="1:10" ht="17.25" customHeight="1" x14ac:dyDescent="0.25">
      <c r="A39" s="1"/>
      <c r="B39" s="255"/>
      <c r="C39" s="70" t="s">
        <v>36</v>
      </c>
      <c r="D39" s="140">
        <v>7000</v>
      </c>
      <c r="E39" s="140">
        <v>7000</v>
      </c>
      <c r="F39" s="95">
        <f>24.89716</f>
        <v>24.89716</v>
      </c>
      <c r="G39" s="95">
        <f>E39</f>
        <v>7000</v>
      </c>
      <c r="H39" s="95">
        <f t="shared" si="3"/>
        <v>0</v>
      </c>
      <c r="I39" s="95">
        <f>E39</f>
        <v>7000</v>
      </c>
      <c r="J39" s="245"/>
    </row>
    <row r="40" spans="1:10" ht="17.25" customHeight="1" x14ac:dyDescent="0.25">
      <c r="A40" s="1"/>
      <c r="B40" s="255"/>
      <c r="C40" s="70" t="s">
        <v>38</v>
      </c>
      <c r="D40" s="140">
        <v>450</v>
      </c>
      <c r="E40" s="140">
        <v>450</v>
      </c>
      <c r="F40" s="95">
        <f>8.1417</f>
        <v>8.1417000000000002</v>
      </c>
      <c r="G40" s="95">
        <f>312.85194</f>
        <v>312.85194000000001</v>
      </c>
      <c r="H40" s="95">
        <f>E40-G40</f>
        <v>137.14805999999999</v>
      </c>
      <c r="I40" s="95">
        <f>304.88606</f>
        <v>304.88605999999999</v>
      </c>
      <c r="J40" s="245"/>
    </row>
    <row r="41" spans="1:10" ht="14.1" customHeight="1" x14ac:dyDescent="0.25">
      <c r="A41" s="1"/>
      <c r="B41" s="255"/>
      <c r="C41" s="70" t="s">
        <v>39</v>
      </c>
      <c r="D41" s="140"/>
      <c r="E41" s="136"/>
      <c r="F41" s="136">
        <f>0</f>
        <v>0</v>
      </c>
      <c r="G41" s="136">
        <f>53.75713</f>
        <v>53.757129999999997</v>
      </c>
      <c r="H41" s="136">
        <f t="shared" ref="H41" si="4">E41-G41</f>
        <v>-53.757129999999997</v>
      </c>
      <c r="I41" s="136">
        <f>77.21176</f>
        <v>77.211759999999998</v>
      </c>
      <c r="J41" s="245"/>
    </row>
    <row r="42" spans="1:10" ht="16.5" customHeight="1" x14ac:dyDescent="0.25">
      <c r="A42" s="1"/>
      <c r="B42" s="255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3002.3957100000002</v>
      </c>
      <c r="G42" s="73">
        <f t="shared" si="5"/>
        <v>114796.70992999998</v>
      </c>
      <c r="H42" s="73">
        <f t="shared" si="5"/>
        <v>60762.29007000001</v>
      </c>
      <c r="I42" s="73">
        <f t="shared" si="5"/>
        <v>152675.94893000001</v>
      </c>
      <c r="J42" s="245"/>
    </row>
    <row r="43" spans="1:10" ht="14.1" customHeight="1" x14ac:dyDescent="0.25">
      <c r="A43" s="101"/>
      <c r="B43" s="24"/>
      <c r="C43" s="74" t="s">
        <v>124</v>
      </c>
      <c r="D43" s="216"/>
      <c r="E43" s="216"/>
      <c r="F43" s="76"/>
      <c r="G43" s="76"/>
      <c r="H43" s="229"/>
      <c r="I43" s="229"/>
      <c r="J43" s="77"/>
    </row>
    <row r="44" spans="1:10" ht="14.1" customHeight="1" x14ac:dyDescent="0.2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45"/>
    </row>
    <row r="45" spans="1:10" ht="14.1" customHeight="1" x14ac:dyDescent="0.25">
      <c r="A45" s="101"/>
      <c r="B45" s="24"/>
      <c r="C45" s="156" t="s">
        <v>148</v>
      </c>
      <c r="D45" s="216"/>
      <c r="E45" s="216"/>
      <c r="F45" s="216"/>
      <c r="G45" s="76"/>
      <c r="H45" s="173"/>
      <c r="I45" s="173"/>
      <c r="J45" s="117"/>
    </row>
    <row r="46" spans="1:10" ht="14.1" customHeight="1" x14ac:dyDescent="0.25">
      <c r="A46" s="101"/>
      <c r="B46" s="24"/>
      <c r="C46" s="156" t="s">
        <v>140</v>
      </c>
      <c r="D46" s="216"/>
      <c r="E46" s="216"/>
      <c r="F46" s="216"/>
      <c r="G46" s="216"/>
      <c r="H46" s="173"/>
      <c r="I46" s="173"/>
      <c r="J46" s="117"/>
    </row>
    <row r="47" spans="1:10" ht="14.1" customHeight="1" x14ac:dyDescent="0.2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25">
      <c r="A48" s="101"/>
      <c r="B48" s="242"/>
      <c r="C48" s="272"/>
      <c r="D48" s="272"/>
      <c r="E48" s="106"/>
      <c r="F48" s="272"/>
      <c r="G48" s="272"/>
      <c r="H48" s="272"/>
      <c r="I48" s="272"/>
      <c r="J48" s="178"/>
    </row>
    <row r="49" spans="1:10" ht="33" customHeight="1" x14ac:dyDescent="0.25">
      <c r="A49" s="101"/>
      <c r="B49" s="24"/>
      <c r="C49" s="293" t="s">
        <v>43</v>
      </c>
      <c r="D49" s="293"/>
      <c r="E49" s="293"/>
      <c r="F49" s="293"/>
      <c r="G49" s="293"/>
      <c r="H49" s="293"/>
      <c r="I49" s="80"/>
      <c r="J49" s="81"/>
    </row>
    <row r="50" spans="1:10" ht="15.95" customHeight="1" x14ac:dyDescent="0.2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2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149</v>
      </c>
      <c r="G51" s="68" t="s">
        <v>150</v>
      </c>
      <c r="H51" s="68" t="s">
        <v>151</v>
      </c>
      <c r="I51" s="68" t="s">
        <v>152</v>
      </c>
      <c r="J51" s="245"/>
    </row>
    <row r="52" spans="1:10" ht="14.1" customHeight="1" x14ac:dyDescent="0.25">
      <c r="A52" s="101"/>
      <c r="B52" s="24"/>
      <c r="C52" s="15" t="s">
        <v>45</v>
      </c>
      <c r="D52" s="294">
        <v>7872</v>
      </c>
      <c r="E52" s="294">
        <v>8231</v>
      </c>
      <c r="F52" s="10">
        <f>F56+F55+F54+F53</f>
        <v>0</v>
      </c>
      <c r="G52" s="10">
        <f>G56+G55+G54+G53</f>
        <v>0</v>
      </c>
      <c r="H52" s="294">
        <f>E52-G52</f>
        <v>8231</v>
      </c>
      <c r="I52" s="10">
        <f>I56+I55+I54+I53</f>
        <v>0</v>
      </c>
      <c r="J52" s="117"/>
    </row>
    <row r="53" spans="1:10" ht="14.1" customHeight="1" x14ac:dyDescent="0.25">
      <c r="A53" s="101"/>
      <c r="B53" s="24"/>
      <c r="C53" s="60" t="s">
        <v>24</v>
      </c>
      <c r="D53" s="295"/>
      <c r="E53" s="295"/>
      <c r="F53" s="123"/>
      <c r="G53" s="123"/>
      <c r="H53" s="295"/>
      <c r="I53" s="123"/>
      <c r="J53" s="117"/>
    </row>
    <row r="54" spans="1:10" ht="14.1" customHeight="1" x14ac:dyDescent="0.25">
      <c r="A54" s="101"/>
      <c r="B54" s="24"/>
      <c r="C54" s="60" t="s">
        <v>25</v>
      </c>
      <c r="D54" s="295"/>
      <c r="E54" s="295"/>
      <c r="F54" s="123"/>
      <c r="G54" s="123"/>
      <c r="H54" s="295"/>
      <c r="I54" s="123"/>
      <c r="J54" s="245"/>
    </row>
    <row r="55" spans="1:10" ht="14.1" customHeight="1" x14ac:dyDescent="0.25">
      <c r="A55" s="101"/>
      <c r="B55" s="24"/>
      <c r="C55" s="60" t="s">
        <v>26</v>
      </c>
      <c r="D55" s="295"/>
      <c r="E55" s="295"/>
      <c r="F55" s="123"/>
      <c r="G55" s="123"/>
      <c r="H55" s="295"/>
      <c r="I55" s="123"/>
      <c r="J55" s="117"/>
    </row>
    <row r="56" spans="1:10" ht="14.1" customHeight="1" x14ac:dyDescent="0.25">
      <c r="A56" s="101"/>
      <c r="B56" s="24"/>
      <c r="C56" s="84" t="s">
        <v>27</v>
      </c>
      <c r="D56" s="296"/>
      <c r="E56" s="296"/>
      <c r="F56" s="186"/>
      <c r="G56" s="186"/>
      <c r="H56" s="296"/>
      <c r="I56" s="186"/>
      <c r="J56" s="117"/>
    </row>
    <row r="57" spans="1:10" ht="14.1" customHeight="1" x14ac:dyDescent="0.25">
      <c r="A57" s="101"/>
      <c r="B57" s="24"/>
      <c r="C57" s="85" t="s">
        <v>46</v>
      </c>
      <c r="D57" s="92">
        <v>960</v>
      </c>
      <c r="E57" s="92">
        <v>960</v>
      </c>
      <c r="F57" s="92">
        <v>0</v>
      </c>
      <c r="G57" s="92">
        <v>0</v>
      </c>
      <c r="H57" s="92">
        <f>E57-G57</f>
        <v>960</v>
      </c>
      <c r="I57" s="92">
        <v>0</v>
      </c>
      <c r="J57" s="245"/>
    </row>
    <row r="58" spans="1:10" ht="14.1" customHeight="1" x14ac:dyDescent="0.25">
      <c r="A58" s="101"/>
      <c r="B58" s="24"/>
      <c r="C58" s="139" t="s">
        <v>47</v>
      </c>
      <c r="D58" s="136">
        <v>3000</v>
      </c>
      <c r="E58" s="136">
        <v>3000</v>
      </c>
      <c r="F58" s="136">
        <v>75</v>
      </c>
      <c r="G58" s="136">
        <v>1416</v>
      </c>
      <c r="H58" s="136">
        <f>E58-G58</f>
        <v>1584</v>
      </c>
      <c r="I58" s="136">
        <v>2128</v>
      </c>
      <c r="J58" s="117"/>
    </row>
    <row r="59" spans="1:10" ht="14.1" customHeight="1" x14ac:dyDescent="0.25">
      <c r="A59" s="101"/>
      <c r="B59" s="24"/>
      <c r="C59" s="74" t="s">
        <v>125</v>
      </c>
      <c r="D59" s="216"/>
      <c r="E59" s="216"/>
      <c r="F59" s="216"/>
      <c r="G59" s="216"/>
      <c r="H59" s="173"/>
      <c r="I59" s="173"/>
      <c r="J59" s="117"/>
    </row>
    <row r="60" spans="1:10" ht="14.1" customHeight="1" x14ac:dyDescent="0.2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2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2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2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25">
      <c r="B64" s="1"/>
      <c r="C64" s="287"/>
      <c r="D64" s="116"/>
      <c r="E64" s="116"/>
      <c r="F64" s="116"/>
      <c r="G64" s="116"/>
      <c r="H64" s="1"/>
      <c r="I64" s="1"/>
      <c r="J64" s="1"/>
    </row>
    <row r="65" spans="1:10" ht="17.100000000000001" customHeight="1" x14ac:dyDescent="0.25">
      <c r="B65" s="2"/>
      <c r="C65" s="220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25">
      <c r="B66" s="2"/>
      <c r="C66" s="220"/>
      <c r="D66" s="2"/>
      <c r="E66" s="2"/>
      <c r="F66" s="2"/>
      <c r="G66" s="2"/>
      <c r="H66" s="2"/>
      <c r="I66" s="2"/>
      <c r="J66" s="2"/>
    </row>
    <row r="67" spans="1:10" ht="14.1" customHeight="1" x14ac:dyDescent="0.2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25">
      <c r="B68" s="50"/>
      <c r="C68" s="297" t="s">
        <v>1</v>
      </c>
      <c r="D68" s="298"/>
      <c r="E68" s="297" t="s">
        <v>2</v>
      </c>
      <c r="F68" s="299"/>
      <c r="G68" s="297" t="s">
        <v>3</v>
      </c>
      <c r="H68" s="298"/>
      <c r="I68" s="173"/>
      <c r="J68" s="245"/>
    </row>
    <row r="69" spans="1:10" ht="15" customHeight="1" x14ac:dyDescent="0.25">
      <c r="B69" s="255"/>
      <c r="C69" s="110" t="s">
        <v>143</v>
      </c>
      <c r="D69" s="114">
        <v>65468</v>
      </c>
      <c r="E69" s="259" t="s">
        <v>4</v>
      </c>
      <c r="F69" s="109">
        <v>24966</v>
      </c>
      <c r="G69" s="185" t="s">
        <v>5</v>
      </c>
      <c r="H69" s="109">
        <v>7333</v>
      </c>
      <c r="I69" s="173"/>
      <c r="J69" s="245"/>
    </row>
    <row r="70" spans="1:10" ht="15" customHeight="1" x14ac:dyDescent="0.25">
      <c r="B70" s="255"/>
      <c r="C70" s="110" t="s">
        <v>9</v>
      </c>
      <c r="D70" s="114">
        <v>56468</v>
      </c>
      <c r="E70" s="249" t="s">
        <v>7</v>
      </c>
      <c r="F70" s="114">
        <v>39930</v>
      </c>
      <c r="G70" s="185" t="s">
        <v>8</v>
      </c>
      <c r="H70" s="114">
        <v>29439</v>
      </c>
      <c r="I70" s="173"/>
      <c r="J70" s="245"/>
    </row>
    <row r="71" spans="1:10" ht="14.1" customHeight="1" x14ac:dyDescent="0.25">
      <c r="B71" s="255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45"/>
    </row>
    <row r="72" spans="1:10" ht="12" customHeight="1" x14ac:dyDescent="0.25">
      <c r="B72" s="255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45"/>
    </row>
    <row r="73" spans="1:10" ht="14.25" customHeight="1" x14ac:dyDescent="0.25">
      <c r="A73" s="1"/>
      <c r="B73" s="255"/>
      <c r="C73" s="101" t="s">
        <v>145</v>
      </c>
      <c r="D73" s="221"/>
      <c r="E73" s="221"/>
      <c r="F73" s="221"/>
      <c r="G73" s="221"/>
      <c r="H73" s="221"/>
      <c r="I73" s="237"/>
      <c r="J73" s="117"/>
    </row>
    <row r="74" spans="1:10" ht="6" customHeight="1" x14ac:dyDescent="0.25">
      <c r="A74" s="1"/>
      <c r="B74" s="255"/>
      <c r="C74" s="93"/>
      <c r="D74" s="93"/>
      <c r="E74" s="93"/>
      <c r="F74" s="93"/>
      <c r="G74" s="93"/>
      <c r="H74" s="93"/>
      <c r="I74" s="237"/>
      <c r="J74" s="117"/>
    </row>
    <row r="75" spans="1:10" ht="14.1" customHeight="1" x14ac:dyDescent="0.25">
      <c r="A75" s="1"/>
      <c r="B75" s="135"/>
      <c r="C75" s="272"/>
      <c r="D75" s="106"/>
      <c r="E75" s="272"/>
      <c r="F75" s="272"/>
      <c r="G75" s="272"/>
      <c r="H75" s="272"/>
      <c r="I75" s="261"/>
      <c r="J75" s="178"/>
    </row>
    <row r="76" spans="1:10" ht="20.25" customHeight="1" x14ac:dyDescent="0.25">
      <c r="A76" s="1"/>
      <c r="B76" s="255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3">
      <c r="A77" s="1"/>
      <c r="B77" s="255"/>
      <c r="C77" s="289"/>
      <c r="D77" s="289"/>
      <c r="E77" s="289"/>
      <c r="F77" s="289"/>
      <c r="G77" s="289"/>
      <c r="H77" s="289"/>
      <c r="I77" s="289"/>
      <c r="J77" s="18"/>
    </row>
    <row r="78" spans="1:10" ht="54" customHeight="1" x14ac:dyDescent="0.25">
      <c r="A78" s="1"/>
      <c r="B78" s="255"/>
      <c r="C78" s="14" t="s">
        <v>16</v>
      </c>
      <c r="D78" s="113" t="s">
        <v>17</v>
      </c>
      <c r="E78" s="14" t="s">
        <v>50</v>
      </c>
      <c r="F78" s="14" t="s">
        <v>149</v>
      </c>
      <c r="G78" s="14" t="s">
        <v>150</v>
      </c>
      <c r="H78" s="14" t="s">
        <v>151</v>
      </c>
      <c r="I78" s="14" t="s">
        <v>152</v>
      </c>
      <c r="J78" s="117"/>
    </row>
    <row r="79" spans="1:10" ht="14.1" customHeight="1" x14ac:dyDescent="0.25">
      <c r="A79" s="1"/>
      <c r="B79" s="255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404.21544999999998</v>
      </c>
      <c r="G79" s="10">
        <f t="shared" si="6"/>
        <v>17298.2791</v>
      </c>
      <c r="H79" s="10">
        <f t="shared" si="6"/>
        <v>8842.7209000000021</v>
      </c>
      <c r="I79" s="10">
        <f t="shared" si="6"/>
        <v>22224.387910000001</v>
      </c>
      <c r="J79" s="245"/>
    </row>
    <row r="80" spans="1:10" ht="15" customHeight="1" x14ac:dyDescent="0.25">
      <c r="A80" s="1"/>
      <c r="B80" s="255"/>
      <c r="C80" s="43" t="s">
        <v>20</v>
      </c>
      <c r="D80" s="44">
        <v>24216</v>
      </c>
      <c r="E80" s="44">
        <v>25316</v>
      </c>
      <c r="F80" s="22">
        <f>357.94825</f>
        <v>357.94824999999997</v>
      </c>
      <c r="G80" s="22">
        <f>16971.7109</f>
        <v>16971.710899999998</v>
      </c>
      <c r="H80" s="22">
        <f>E80-G80</f>
        <v>8344.2891000000018</v>
      </c>
      <c r="I80" s="22">
        <f>21473.88046</f>
        <v>21473.88046</v>
      </c>
      <c r="J80" s="245"/>
    </row>
    <row r="81" spans="1:10" ht="14.1" customHeight="1" x14ac:dyDescent="0.25">
      <c r="A81" s="1"/>
      <c r="B81" s="255"/>
      <c r="C81" s="62" t="s">
        <v>21</v>
      </c>
      <c r="D81" s="218">
        <v>750</v>
      </c>
      <c r="E81" s="218">
        <v>825</v>
      </c>
      <c r="F81" s="48">
        <f>46.2672</f>
        <v>46.267200000000003</v>
      </c>
      <c r="G81" s="48">
        <f>326.5682</f>
        <v>326.56819999999999</v>
      </c>
      <c r="H81" s="48">
        <f>E81-G81</f>
        <v>498.43180000000001</v>
      </c>
      <c r="I81" s="48">
        <f>750.50745</f>
        <v>750.50744999999995</v>
      </c>
      <c r="J81" s="245"/>
    </row>
    <row r="82" spans="1:10" ht="15.75" customHeight="1" x14ac:dyDescent="0.2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1182.0434399999999</v>
      </c>
      <c r="G82" s="10">
        <f t="shared" si="7"/>
        <v>16510.308809999999</v>
      </c>
      <c r="H82" s="10">
        <f t="shared" si="7"/>
        <v>27618.691190000001</v>
      </c>
      <c r="I82" s="10">
        <f t="shared" si="7"/>
        <v>19780.824850000001</v>
      </c>
      <c r="J82" s="245"/>
    </row>
    <row r="83" spans="1:10" ht="14.1" customHeight="1" x14ac:dyDescent="0.2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845.65204999999992</v>
      </c>
      <c r="G83" s="129">
        <f t="shared" si="8"/>
        <v>12899.566440000001</v>
      </c>
      <c r="H83" s="129">
        <f t="shared" si="8"/>
        <v>19605.433560000001</v>
      </c>
      <c r="I83" s="129">
        <f t="shared" si="8"/>
        <v>14245.98055</v>
      </c>
      <c r="J83" s="245"/>
    </row>
    <row r="84" spans="1:10" ht="14.1" customHeight="1" x14ac:dyDescent="0.25">
      <c r="A84" s="192"/>
      <c r="B84" s="176"/>
      <c r="C84" s="60" t="s">
        <v>24</v>
      </c>
      <c r="D84" s="61">
        <v>8110</v>
      </c>
      <c r="E84" s="61">
        <v>9004</v>
      </c>
      <c r="F84" s="123">
        <f>64.95464</f>
        <v>64.954639999999998</v>
      </c>
      <c r="G84" s="123">
        <f>2351.41932</f>
        <v>2351.41932</v>
      </c>
      <c r="H84" s="123">
        <f t="shared" ref="H84:H91" si="9">E84-G84</f>
        <v>6652.58068</v>
      </c>
      <c r="I84" s="123">
        <f>3285.21187</f>
        <v>3285.2118700000001</v>
      </c>
      <c r="J84" s="245"/>
    </row>
    <row r="85" spans="1:10" ht="14.1" customHeight="1" x14ac:dyDescent="0.25">
      <c r="A85" s="192"/>
      <c r="B85" s="176"/>
      <c r="C85" s="60" t="s">
        <v>51</v>
      </c>
      <c r="D85" s="61">
        <v>8674</v>
      </c>
      <c r="E85" s="61">
        <v>9075</v>
      </c>
      <c r="F85" s="123">
        <f>254.497</f>
        <v>254.49700000000001</v>
      </c>
      <c r="G85" s="123">
        <f>3243.8631</f>
        <v>3243.8631</v>
      </c>
      <c r="H85" s="123">
        <f t="shared" si="9"/>
        <v>5831.1368999999995</v>
      </c>
      <c r="I85" s="123">
        <f>4869.46276</f>
        <v>4869.4627600000003</v>
      </c>
      <c r="J85" s="245"/>
    </row>
    <row r="86" spans="1:10" ht="14.1" customHeight="1" x14ac:dyDescent="0.25">
      <c r="A86" s="192"/>
      <c r="B86" s="176"/>
      <c r="C86" s="60" t="s">
        <v>52</v>
      </c>
      <c r="D86" s="61">
        <v>8266</v>
      </c>
      <c r="E86" s="61">
        <v>8649</v>
      </c>
      <c r="F86" s="123">
        <f>403.33215</f>
        <v>403.33215000000001</v>
      </c>
      <c r="G86" s="123">
        <f>3872.95591</f>
        <v>3872.9559100000001</v>
      </c>
      <c r="H86" s="123">
        <f t="shared" si="9"/>
        <v>4776.0440899999994</v>
      </c>
      <c r="I86" s="123">
        <f>3764.22634</f>
        <v>3764.2263400000002</v>
      </c>
      <c r="J86" s="245"/>
    </row>
    <row r="87" spans="1:10" ht="14.1" customHeight="1" x14ac:dyDescent="0.25">
      <c r="A87" s="192"/>
      <c r="B87" s="176"/>
      <c r="C87" s="60" t="s">
        <v>27</v>
      </c>
      <c r="D87" s="61">
        <v>5521</v>
      </c>
      <c r="E87" s="61">
        <v>5777</v>
      </c>
      <c r="F87" s="123">
        <f>122.86826</f>
        <v>122.86826000000001</v>
      </c>
      <c r="G87" s="123">
        <f>3431.32811</f>
        <v>3431.3281099999999</v>
      </c>
      <c r="H87" s="123">
        <f t="shared" si="9"/>
        <v>2345.6718900000001</v>
      </c>
      <c r="I87" s="123">
        <f>2327.07958</f>
        <v>2327.0795800000001</v>
      </c>
      <c r="J87" s="245"/>
    </row>
    <row r="88" spans="1:10" ht="14.1" customHeight="1" x14ac:dyDescent="0.25">
      <c r="A88" s="192"/>
      <c r="B88" s="176"/>
      <c r="C88" s="54" t="s">
        <v>53</v>
      </c>
      <c r="D88" s="55">
        <v>7333</v>
      </c>
      <c r="E88" s="55">
        <v>8117</v>
      </c>
      <c r="F88" s="129">
        <f>308.5844</f>
        <v>308.58440000000002</v>
      </c>
      <c r="G88" s="129">
        <f>2632.58181</f>
        <v>2632.5818100000001</v>
      </c>
      <c r="H88" s="129">
        <f t="shared" si="9"/>
        <v>5484.4181900000003</v>
      </c>
      <c r="I88" s="129">
        <f>4002.51045</f>
        <v>4002.5104500000002</v>
      </c>
      <c r="J88" s="245"/>
    </row>
    <row r="89" spans="1:10" ht="15.75" customHeight="1" x14ac:dyDescent="0.25">
      <c r="A89" s="1"/>
      <c r="B89" s="51"/>
      <c r="C89" s="37" t="s">
        <v>11</v>
      </c>
      <c r="D89" s="59">
        <v>3158</v>
      </c>
      <c r="E89" s="59">
        <v>3507</v>
      </c>
      <c r="F89" s="72">
        <f>27.80699</f>
        <v>27.806989999999999</v>
      </c>
      <c r="G89" s="72">
        <f>978.16056</f>
        <v>978.16056000000003</v>
      </c>
      <c r="H89" s="72">
        <f t="shared" si="9"/>
        <v>2528.8394399999997</v>
      </c>
      <c r="I89" s="72">
        <f>1532.33385</f>
        <v>1532.33385</v>
      </c>
      <c r="J89" s="245"/>
    </row>
    <row r="90" spans="1:10" ht="15.75" customHeight="1" x14ac:dyDescent="0.25">
      <c r="A90" s="1"/>
      <c r="B90" s="51"/>
      <c r="C90" s="70" t="s">
        <v>34</v>
      </c>
      <c r="D90" s="86">
        <v>319</v>
      </c>
      <c r="E90" s="86">
        <v>319</v>
      </c>
      <c r="F90" s="95">
        <f>0.12614</f>
        <v>0.12614</v>
      </c>
      <c r="G90" s="95">
        <f>27.03093</f>
        <v>27.030930000000001</v>
      </c>
      <c r="H90" s="95">
        <f t="shared" si="9"/>
        <v>291.96906999999999</v>
      </c>
      <c r="I90" s="95">
        <f>35.89638</f>
        <v>35.896380000000001</v>
      </c>
      <c r="J90" s="245"/>
    </row>
    <row r="91" spans="1:10" ht="18" customHeight="1" x14ac:dyDescent="0.25">
      <c r="A91" s="1"/>
      <c r="B91" s="255"/>
      <c r="C91" s="70" t="s">
        <v>54</v>
      </c>
      <c r="D91" s="140">
        <v>300</v>
      </c>
      <c r="E91" s="140">
        <v>300</v>
      </c>
      <c r="F91" s="136">
        <f>1.88107</f>
        <v>1.88107</v>
      </c>
      <c r="G91" s="136">
        <f>E91</f>
        <v>300</v>
      </c>
      <c r="H91" s="136">
        <f t="shared" si="9"/>
        <v>0</v>
      </c>
      <c r="I91" s="136">
        <f>E91</f>
        <v>300</v>
      </c>
      <c r="J91" s="245"/>
    </row>
    <row r="92" spans="1:10" ht="16.5" customHeight="1" x14ac:dyDescent="0.25">
      <c r="A92" s="1"/>
      <c r="B92" s="255"/>
      <c r="C92" s="89" t="s">
        <v>38</v>
      </c>
      <c r="D92" s="140">
        <v>50</v>
      </c>
      <c r="E92" s="140">
        <v>50</v>
      </c>
      <c r="F92" s="95">
        <f>0.18902</f>
        <v>0.18901999999999999</v>
      </c>
      <c r="G92" s="95">
        <f>9.83572</f>
        <v>9.8357200000000002</v>
      </c>
      <c r="H92" s="136">
        <f>E92-G92</f>
        <v>40.164279999999998</v>
      </c>
      <c r="I92" s="95">
        <f>18.451</f>
        <v>18.451000000000001</v>
      </c>
      <c r="J92" s="245"/>
    </row>
    <row r="93" spans="1:10" ht="18" customHeight="1" x14ac:dyDescent="0.25">
      <c r="A93" s="1"/>
      <c r="B93" s="255"/>
      <c r="C93" s="89" t="s">
        <v>55</v>
      </c>
      <c r="D93" s="140"/>
      <c r="E93" s="136"/>
      <c r="F93" s="136">
        <f>0</f>
        <v>0</v>
      </c>
      <c r="G93" s="136">
        <f>5.1777</f>
        <v>5.1776999999999997</v>
      </c>
      <c r="H93" s="136">
        <f t="shared" ref="H93" si="10">E93-G93</f>
        <v>-5.1776999999999997</v>
      </c>
      <c r="I93" s="136">
        <f>15.97624</f>
        <v>15.976240000000001</v>
      </c>
      <c r="J93" s="245"/>
    </row>
    <row r="94" spans="1:10" ht="16.5" customHeight="1" x14ac:dyDescent="0.25">
      <c r="A94" s="1"/>
      <c r="B94" s="255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1588.4551199999999</v>
      </c>
      <c r="G94" s="73">
        <f t="shared" si="12"/>
        <v>34150.632260000006</v>
      </c>
      <c r="H94" s="73">
        <f t="shared" si="12"/>
        <v>36788.367740000002</v>
      </c>
      <c r="I94" s="73">
        <f t="shared" si="12"/>
        <v>42375.536380000005</v>
      </c>
      <c r="J94" s="245"/>
    </row>
    <row r="95" spans="1:10" ht="13.5" customHeight="1" x14ac:dyDescent="0.25">
      <c r="A95" s="1"/>
      <c r="B95" s="255"/>
      <c r="C95" s="74" t="s">
        <v>126</v>
      </c>
      <c r="D95" s="97"/>
      <c r="E95" s="97"/>
      <c r="F95" s="98"/>
      <c r="G95" s="98"/>
      <c r="H95" s="100"/>
      <c r="I95" s="229"/>
      <c r="J95" s="245"/>
    </row>
    <row r="96" spans="1:10" ht="13.5" customHeight="1" x14ac:dyDescent="0.25">
      <c r="A96" s="1"/>
      <c r="B96" s="24"/>
      <c r="C96" s="156" t="s">
        <v>146</v>
      </c>
      <c r="D96" s="216"/>
      <c r="E96" s="216"/>
      <c r="F96" s="76"/>
      <c r="G96" s="76"/>
      <c r="H96" s="229"/>
      <c r="I96" s="229"/>
      <c r="J96" s="102"/>
    </row>
    <row r="97" spans="1:10" ht="15" customHeight="1" x14ac:dyDescent="0.25">
      <c r="A97" s="1"/>
      <c r="B97" s="24"/>
      <c r="C97" s="156" t="s">
        <v>131</v>
      </c>
      <c r="D97" s="216"/>
      <c r="E97" s="216"/>
      <c r="F97" s="76"/>
      <c r="G97" s="76"/>
      <c r="H97" s="229"/>
      <c r="I97" s="229"/>
      <c r="J97" s="102"/>
    </row>
    <row r="98" spans="1:10" ht="15" customHeight="1" x14ac:dyDescent="0.25">
      <c r="A98" s="1"/>
      <c r="B98" s="24"/>
      <c r="C98" s="229" t="s">
        <v>56</v>
      </c>
      <c r="D98" s="216"/>
      <c r="E98" s="216"/>
      <c r="F98" s="76"/>
      <c r="G98" s="76"/>
      <c r="H98" s="229"/>
      <c r="I98" s="229"/>
      <c r="J98" s="102"/>
    </row>
    <row r="99" spans="1:10" ht="12" customHeight="1" x14ac:dyDescent="0.2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25">
      <c r="A100" s="1"/>
      <c r="B100" s="101"/>
      <c r="C100" s="1" t="s">
        <v>112</v>
      </c>
      <c r="D100" s="229"/>
      <c r="E100" s="229"/>
      <c r="F100" s="229"/>
      <c r="G100" s="229"/>
      <c r="H100" s="229"/>
      <c r="I100" s="101"/>
      <c r="J100" s="101" t="s">
        <v>112</v>
      </c>
    </row>
    <row r="101" spans="1:10" ht="14.25" customHeight="1" x14ac:dyDescent="0.2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00000000000001" customHeight="1" x14ac:dyDescent="0.25">
      <c r="A102" s="215"/>
      <c r="B102" s="215"/>
      <c r="C102" s="220" t="s">
        <v>57</v>
      </c>
      <c r="D102" s="215"/>
      <c r="E102" s="215"/>
      <c r="F102" s="215"/>
      <c r="G102" s="215"/>
      <c r="H102" s="215"/>
      <c r="I102" s="215"/>
      <c r="J102" s="215"/>
    </row>
    <row r="103" spans="1:10" ht="3" customHeight="1" x14ac:dyDescent="0.25">
      <c r="A103" s="215"/>
      <c r="B103" s="215"/>
      <c r="C103" s="220"/>
      <c r="D103" s="215"/>
      <c r="E103" s="215"/>
      <c r="F103" s="215"/>
      <c r="G103" s="215"/>
      <c r="H103" s="215"/>
      <c r="I103" s="215"/>
      <c r="J103" s="215"/>
    </row>
    <row r="104" spans="1:10" ht="14.1" customHeight="1" x14ac:dyDescent="0.2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2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45"/>
    </row>
    <row r="106" spans="1:10" ht="14.1" customHeight="1" x14ac:dyDescent="0.25">
      <c r="A106" s="1"/>
      <c r="B106" s="255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45"/>
    </row>
    <row r="107" spans="1:10" ht="14.1" customHeight="1" x14ac:dyDescent="0.25">
      <c r="A107" s="1"/>
      <c r="B107" s="255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45"/>
    </row>
    <row r="108" spans="1:10" ht="14.1" customHeight="1" x14ac:dyDescent="0.25">
      <c r="A108" s="1"/>
      <c r="B108" s="255"/>
      <c r="C108" s="249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45"/>
    </row>
    <row r="109" spans="1:10" ht="14.1" customHeight="1" x14ac:dyDescent="0.2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45"/>
    </row>
    <row r="110" spans="1:10" ht="12" customHeight="1" x14ac:dyDescent="0.25">
      <c r="A110" s="1"/>
      <c r="B110" s="255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45"/>
    </row>
    <row r="111" spans="1:10" ht="12" customHeight="1" x14ac:dyDescent="0.25">
      <c r="A111" s="101"/>
      <c r="B111" s="24"/>
      <c r="C111" s="101" t="s">
        <v>127</v>
      </c>
      <c r="D111" s="101"/>
      <c r="E111" s="101"/>
      <c r="F111" s="101"/>
      <c r="G111" s="101"/>
      <c r="H111" s="101"/>
      <c r="I111" s="101"/>
      <c r="J111" s="157"/>
    </row>
    <row r="112" spans="1:10" ht="17.100000000000001" customHeight="1" x14ac:dyDescent="0.25">
      <c r="A112" s="1"/>
      <c r="B112" s="242"/>
      <c r="C112" s="272"/>
      <c r="D112" s="272"/>
      <c r="E112" s="234"/>
      <c r="F112" s="234"/>
      <c r="G112" s="234"/>
      <c r="H112" s="234"/>
      <c r="I112" s="234"/>
      <c r="J112" s="246"/>
    </row>
    <row r="113" spans="1:10" ht="25.5" customHeight="1" x14ac:dyDescent="0.25">
      <c r="A113" s="1"/>
      <c r="B113" s="255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25">
      <c r="A114" s="152"/>
      <c r="B114" s="50"/>
      <c r="C114" s="264" t="s">
        <v>16</v>
      </c>
      <c r="D114" s="14" t="s">
        <v>17</v>
      </c>
      <c r="E114" s="14" t="s">
        <v>61</v>
      </c>
      <c r="F114" s="14" t="s">
        <v>149</v>
      </c>
      <c r="G114" s="14" t="s">
        <v>150</v>
      </c>
      <c r="H114" s="14" t="s">
        <v>151</v>
      </c>
      <c r="I114" s="14" t="s">
        <v>152</v>
      </c>
      <c r="J114" s="279"/>
    </row>
    <row r="115" spans="1:10" ht="14.1" customHeight="1" x14ac:dyDescent="0.25">
      <c r="A115" s="1"/>
      <c r="B115" s="255"/>
      <c r="C115" s="15" t="s">
        <v>62</v>
      </c>
      <c r="D115" s="27">
        <f>D116+D117+D118</f>
        <v>64787</v>
      </c>
      <c r="E115" s="27">
        <f>E116+E117+E118</f>
        <v>72290</v>
      </c>
      <c r="F115" s="10">
        <f t="shared" ref="F115:I115" si="13">F116+F117+F118</f>
        <v>707.62034000000006</v>
      </c>
      <c r="G115" s="10">
        <f t="shared" si="13"/>
        <v>25705.199479999999</v>
      </c>
      <c r="H115" s="10">
        <f t="shared" si="13"/>
        <v>46584.800519999997</v>
      </c>
      <c r="I115" s="10">
        <f t="shared" si="13"/>
        <v>32477.114669999999</v>
      </c>
      <c r="J115" s="245"/>
    </row>
    <row r="116" spans="1:10" ht="14.1" customHeight="1" x14ac:dyDescent="0.25">
      <c r="A116" s="1"/>
      <c r="B116" s="255"/>
      <c r="C116" s="43" t="s">
        <v>20</v>
      </c>
      <c r="D116" s="44">
        <v>51830</v>
      </c>
      <c r="E116" s="44">
        <v>57471</v>
      </c>
      <c r="F116" s="22">
        <f>555.45374</f>
        <v>555.45374000000004</v>
      </c>
      <c r="G116" s="22">
        <f>22786.09038</f>
        <v>22786.090380000001</v>
      </c>
      <c r="H116" s="22">
        <f>E116-G116</f>
        <v>34684.909619999999</v>
      </c>
      <c r="I116" s="22">
        <f>28691.20209</f>
        <v>28691.202089999999</v>
      </c>
      <c r="J116" s="245"/>
    </row>
    <row r="117" spans="1:10" ht="15" customHeight="1" x14ac:dyDescent="0.25">
      <c r="A117" s="1"/>
      <c r="B117" s="255"/>
      <c r="C117" s="43" t="s">
        <v>21</v>
      </c>
      <c r="D117" s="44">
        <v>12457</v>
      </c>
      <c r="E117" s="44">
        <v>14319</v>
      </c>
      <c r="F117" s="22">
        <f>152.1666</f>
        <v>152.16659999999999</v>
      </c>
      <c r="G117" s="22">
        <f>2853.7515</f>
        <v>2853.7514999999999</v>
      </c>
      <c r="H117" s="22">
        <f>E117-G117</f>
        <v>11465.2485</v>
      </c>
      <c r="I117" s="22">
        <f>3720.46243</f>
        <v>3720.46243</v>
      </c>
      <c r="J117" s="245"/>
    </row>
    <row r="118" spans="1:10" ht="13.5" customHeight="1" x14ac:dyDescent="0.25">
      <c r="A118" s="1"/>
      <c r="B118" s="255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45"/>
    </row>
    <row r="119" spans="1:10" ht="14.25" customHeight="1" x14ac:dyDescent="0.25">
      <c r="A119" s="65"/>
      <c r="B119" s="75"/>
      <c r="C119" s="85" t="s">
        <v>64</v>
      </c>
      <c r="D119" s="87">
        <v>43775</v>
      </c>
      <c r="E119" s="87">
        <v>52305</v>
      </c>
      <c r="F119" s="92">
        <f>11.27</f>
        <v>11.27</v>
      </c>
      <c r="G119" s="92">
        <f>83.91065</f>
        <v>83.910650000000004</v>
      </c>
      <c r="H119" s="92">
        <f>E119-G119</f>
        <v>52221.089350000002</v>
      </c>
      <c r="I119" s="92">
        <f>129.0714</f>
        <v>129.07140000000001</v>
      </c>
      <c r="J119" s="111"/>
    </row>
    <row r="120" spans="1:10" ht="15.75" customHeight="1" x14ac:dyDescent="0.25">
      <c r="A120" s="1"/>
      <c r="B120" s="255"/>
      <c r="C120" s="139" t="s">
        <v>22</v>
      </c>
      <c r="D120" s="140">
        <f>D121+D126+D129</f>
        <v>67996</v>
      </c>
      <c r="E120" s="140">
        <f>E121+E126+E129</f>
        <v>72895</v>
      </c>
      <c r="F120" s="91">
        <f>F121+F126+F129</f>
        <v>793.26063999999997</v>
      </c>
      <c r="G120" s="91">
        <f t="shared" ref="G120" si="14">G121+G126+G129</f>
        <v>32724.646290000001</v>
      </c>
      <c r="H120" s="91">
        <f>H121+H126+H129</f>
        <v>40170.353710000003</v>
      </c>
      <c r="I120" s="91">
        <f>I121+I126+I129</f>
        <v>43367.15959000001</v>
      </c>
      <c r="J120" s="117"/>
    </row>
    <row r="121" spans="1:10" ht="14.1" customHeight="1" x14ac:dyDescent="0.2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54734</v>
      </c>
      <c r="F121" s="121">
        <f>F122+F123+F124+F125</f>
        <v>658.09131000000002</v>
      </c>
      <c r="G121" s="121">
        <f>G122+G123+G125+G124</f>
        <v>24452.14933</v>
      </c>
      <c r="H121" s="121">
        <f>H122+H123+H124+H125</f>
        <v>30281.85067</v>
      </c>
      <c r="I121" s="121">
        <f>I122+I123+I124+I125</f>
        <v>32854.935330000008</v>
      </c>
      <c r="J121" s="279"/>
    </row>
    <row r="122" spans="1:10" ht="14.1" customHeight="1" x14ac:dyDescent="0.25">
      <c r="A122" s="192"/>
      <c r="B122" s="122"/>
      <c r="C122" s="60" t="s">
        <v>24</v>
      </c>
      <c r="D122" s="61">
        <v>13661</v>
      </c>
      <c r="E122" s="61">
        <v>16279</v>
      </c>
      <c r="F122" s="123">
        <f>107.44664</f>
        <v>107.44664</v>
      </c>
      <c r="G122" s="123">
        <f>5360.01641</f>
        <v>5360.0164100000002</v>
      </c>
      <c r="H122" s="123">
        <f>E122-G122</f>
        <v>10918.98359</v>
      </c>
      <c r="I122" s="123">
        <f>5950.04622</f>
        <v>5950.0462200000002</v>
      </c>
      <c r="J122" s="125"/>
    </row>
    <row r="123" spans="1:10" ht="14.1" customHeight="1" x14ac:dyDescent="0.25">
      <c r="A123" s="192"/>
      <c r="B123" s="176"/>
      <c r="C123" s="60" t="s">
        <v>51</v>
      </c>
      <c r="D123" s="61">
        <v>14094</v>
      </c>
      <c r="E123" s="61">
        <v>13937</v>
      </c>
      <c r="F123" s="123">
        <f>56.18558</f>
        <v>56.185580000000002</v>
      </c>
      <c r="G123" s="123">
        <f>7451.42704</f>
        <v>7451.4270399999996</v>
      </c>
      <c r="H123" s="123">
        <f>E123-G123</f>
        <v>6485.5729600000004</v>
      </c>
      <c r="I123" s="123">
        <f>9886.92006</f>
        <v>9886.9200600000004</v>
      </c>
      <c r="J123" s="126"/>
    </row>
    <row r="124" spans="1:10" ht="14.1" customHeight="1" x14ac:dyDescent="0.25">
      <c r="A124" s="192"/>
      <c r="B124" s="176"/>
      <c r="C124" s="60" t="s">
        <v>52</v>
      </c>
      <c r="D124" s="61">
        <v>12169</v>
      </c>
      <c r="E124" s="61">
        <v>11676</v>
      </c>
      <c r="F124" s="123">
        <f>221.11654</f>
        <v>221.11653999999999</v>
      </c>
      <c r="G124" s="123">
        <f>5507.71655</f>
        <v>5507.7165500000001</v>
      </c>
      <c r="H124" s="123">
        <f>E124-G124</f>
        <v>6168.2834499999999</v>
      </c>
      <c r="I124" s="123">
        <f>8516.34034</f>
        <v>8516.3403400000007</v>
      </c>
      <c r="J124" s="126"/>
    </row>
    <row r="125" spans="1:10" ht="14.1" customHeight="1" x14ac:dyDescent="0.25">
      <c r="A125" s="192"/>
      <c r="B125" s="176"/>
      <c r="C125" s="60" t="s">
        <v>27</v>
      </c>
      <c r="D125" s="61">
        <v>11438</v>
      </c>
      <c r="E125" s="61">
        <v>12842</v>
      </c>
      <c r="F125" s="123">
        <f>273.34255</f>
        <v>273.34255000000002</v>
      </c>
      <c r="G125" s="123">
        <f>6132.98933</f>
        <v>6132.9893300000003</v>
      </c>
      <c r="H125" s="123">
        <f>E125-G125</f>
        <v>6709.0106699999997</v>
      </c>
      <c r="I125" s="123">
        <f>8501.62871</f>
        <v>8501.6287100000009</v>
      </c>
      <c r="J125" s="126"/>
    </row>
    <row r="126" spans="1:10" ht="14.1" customHeight="1" x14ac:dyDescent="0.25">
      <c r="A126" s="64"/>
      <c r="B126" s="51"/>
      <c r="C126" s="54" t="s">
        <v>29</v>
      </c>
      <c r="D126" s="55">
        <f>D127+D128</f>
        <v>7319</v>
      </c>
      <c r="E126" s="55">
        <f>E127+E128</f>
        <v>7031</v>
      </c>
      <c r="F126" s="129">
        <f>SUM(F127:F128)</f>
        <v>46.468350000000001</v>
      </c>
      <c r="G126" s="129">
        <f>SUM(G127:G128)</f>
        <v>5697.69848</v>
      </c>
      <c r="H126" s="129">
        <f>H127+H128</f>
        <v>1333.30152</v>
      </c>
      <c r="I126" s="129">
        <f>SUM(I127:I128)</f>
        <v>7734.3501200000001</v>
      </c>
      <c r="J126" s="130"/>
    </row>
    <row r="127" spans="1:10" ht="14.1" customHeight="1" x14ac:dyDescent="0.25">
      <c r="A127" s="1"/>
      <c r="B127" s="255"/>
      <c r="C127" s="60" t="s">
        <v>66</v>
      </c>
      <c r="D127" s="61">
        <v>6819</v>
      </c>
      <c r="E127" s="61">
        <v>6531</v>
      </c>
      <c r="F127" s="123">
        <f>44.41095</f>
        <v>44.41095</v>
      </c>
      <c r="G127" s="123">
        <f>5584.09001</f>
        <v>5584.0900099999999</v>
      </c>
      <c r="H127" s="123">
        <f t="shared" ref="H127:H135" si="15">E127-G127</f>
        <v>946.90999000000011</v>
      </c>
      <c r="I127" s="123">
        <f>7540.00846</f>
        <v>7540.00846</v>
      </c>
      <c r="J127" s="117"/>
    </row>
    <row r="128" spans="1:10" ht="15" customHeight="1" x14ac:dyDescent="0.25">
      <c r="A128" s="1"/>
      <c r="B128" s="51"/>
      <c r="C128" s="60" t="s">
        <v>67</v>
      </c>
      <c r="D128" s="61">
        <v>500</v>
      </c>
      <c r="E128" s="61">
        <v>500</v>
      </c>
      <c r="F128" s="123">
        <f>2.0574</f>
        <v>2.0573999999999999</v>
      </c>
      <c r="G128" s="123">
        <f>113.60847</f>
        <v>113.60847</v>
      </c>
      <c r="H128" s="123">
        <f t="shared" si="15"/>
        <v>386.39152999999999</v>
      </c>
      <c r="I128" s="123">
        <f>194.34166</f>
        <v>194.34165999999999</v>
      </c>
      <c r="J128" s="131"/>
    </row>
    <row r="129" spans="1:10" ht="15.75" customHeight="1" x14ac:dyDescent="0.25">
      <c r="A129" s="1"/>
      <c r="B129" s="255"/>
      <c r="C129" s="37" t="s">
        <v>11</v>
      </c>
      <c r="D129" s="59">
        <v>9315</v>
      </c>
      <c r="E129" s="59">
        <v>11130</v>
      </c>
      <c r="F129" s="72">
        <f>88.70098</f>
        <v>88.700980000000001</v>
      </c>
      <c r="G129" s="72">
        <f>2574.79848</f>
        <v>2574.7984799999999</v>
      </c>
      <c r="H129" s="72">
        <f t="shared" si="15"/>
        <v>8555.2015200000005</v>
      </c>
      <c r="I129" s="72">
        <f>2777.87414</f>
        <v>2777.8741399999999</v>
      </c>
      <c r="J129" s="117"/>
    </row>
    <row r="130" spans="1:10" ht="15.75" customHeight="1" x14ac:dyDescent="0.25">
      <c r="A130" s="1"/>
      <c r="B130" s="255"/>
      <c r="C130" s="139" t="s">
        <v>34</v>
      </c>
      <c r="D130" s="140">
        <v>146</v>
      </c>
      <c r="E130" s="140">
        <v>146</v>
      </c>
      <c r="F130" s="136">
        <f>0.38475</f>
        <v>0.38474999999999998</v>
      </c>
      <c r="G130" s="136">
        <f>15.3534</f>
        <v>15.353400000000001</v>
      </c>
      <c r="H130" s="136">
        <f t="shared" si="15"/>
        <v>130.64660000000001</v>
      </c>
      <c r="I130" s="136">
        <f>15.57285</f>
        <v>15.572850000000001</v>
      </c>
      <c r="J130" s="117"/>
    </row>
    <row r="131" spans="1:10" ht="15.75" customHeight="1" x14ac:dyDescent="0.25">
      <c r="A131" s="1"/>
      <c r="B131" s="255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0</f>
        <v>0</v>
      </c>
      <c r="J131" s="117"/>
    </row>
    <row r="132" spans="1:10" ht="18" customHeight="1" x14ac:dyDescent="0.25">
      <c r="A132" s="1"/>
      <c r="B132" s="255"/>
      <c r="C132" s="137" t="s">
        <v>69</v>
      </c>
      <c r="D132" s="140">
        <v>2000</v>
      </c>
      <c r="E132" s="140">
        <v>2000</v>
      </c>
      <c r="F132" s="136">
        <f>5.65991</f>
        <v>5.65991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45"/>
    </row>
    <row r="133" spans="1:10" ht="15.75" customHeight="1" x14ac:dyDescent="0.25">
      <c r="A133" s="1"/>
      <c r="B133" s="255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25">
      <c r="A134" s="1"/>
      <c r="B134" s="255"/>
      <c r="C134" s="139" t="s">
        <v>70</v>
      </c>
      <c r="D134" s="140">
        <v>313</v>
      </c>
      <c r="E134" s="140">
        <v>313</v>
      </c>
      <c r="F134" s="95">
        <f>0.6079</f>
        <v>0.6079</v>
      </c>
      <c r="G134" s="95">
        <f>78.5938</f>
        <v>78.593800000000002</v>
      </c>
      <c r="H134" s="136">
        <f t="shared" si="15"/>
        <v>234.40620000000001</v>
      </c>
      <c r="I134" s="95">
        <f>34.69828</f>
        <v>34.698279999999997</v>
      </c>
      <c r="J134" s="117"/>
    </row>
    <row r="135" spans="1:10" ht="15" customHeight="1" x14ac:dyDescent="0.25">
      <c r="A135" s="1"/>
      <c r="B135" s="255"/>
      <c r="C135" s="139" t="s">
        <v>39</v>
      </c>
      <c r="D135" s="142"/>
      <c r="E135" s="140"/>
      <c r="F135" s="136">
        <f>0</f>
        <v>0</v>
      </c>
      <c r="G135" s="136">
        <f>74.76946</f>
        <v>74.769459999999995</v>
      </c>
      <c r="H135" s="136">
        <f t="shared" si="15"/>
        <v>-74.769459999999995</v>
      </c>
      <c r="I135" s="136">
        <f>109.13869</f>
        <v>109.13869</v>
      </c>
      <c r="J135" s="117"/>
    </row>
    <row r="136" spans="1:10" ht="0" hidden="1" customHeight="1" x14ac:dyDescent="0.2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2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1518.8035399999999</v>
      </c>
      <c r="G137" s="73">
        <f>G115+G119+G120+G130+G131+G132+G133+G134+G135</f>
        <v>60682.473080000011</v>
      </c>
      <c r="H137" s="73">
        <f>H115+H119+H120+H130+H131+H132+H133+H134+H135</f>
        <v>139616.52692</v>
      </c>
      <c r="I137" s="73">
        <f>I115+I119+I120+I130+I131+I132+I133+I134+I135</f>
        <v>78132.755480000007</v>
      </c>
      <c r="J137" s="155"/>
    </row>
    <row r="138" spans="1:10" ht="14.25" customHeight="1" x14ac:dyDescent="0.2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25">
      <c r="A139" s="152"/>
      <c r="B139" s="50"/>
      <c r="C139" s="101" t="s">
        <v>128</v>
      </c>
      <c r="D139" s="116"/>
      <c r="E139" s="116"/>
      <c r="F139" s="116"/>
      <c r="G139" s="116"/>
      <c r="H139" s="159"/>
      <c r="I139" s="152"/>
      <c r="J139" s="279"/>
    </row>
    <row r="140" spans="1:10" ht="14.25" customHeight="1" x14ac:dyDescent="0.25">
      <c r="A140" s="152"/>
      <c r="B140" s="50"/>
      <c r="C140" s="156" t="s">
        <v>153</v>
      </c>
      <c r="D140" s="116"/>
      <c r="E140" s="116"/>
      <c r="F140" s="116"/>
      <c r="G140" s="116"/>
      <c r="H140" s="159"/>
      <c r="I140" s="152"/>
      <c r="J140" s="279"/>
    </row>
    <row r="141" spans="1:10" ht="14.25" customHeight="1" x14ac:dyDescent="0.25">
      <c r="A141" s="152"/>
      <c r="B141" s="50"/>
      <c r="C141" s="74" t="s">
        <v>147</v>
      </c>
      <c r="D141" s="116"/>
      <c r="E141" s="116"/>
      <c r="F141" s="116"/>
      <c r="G141" s="116"/>
      <c r="H141" s="159"/>
      <c r="I141" s="159"/>
      <c r="J141" s="279"/>
    </row>
    <row r="142" spans="1:10" ht="15.75" customHeight="1" x14ac:dyDescent="0.25">
      <c r="A142" s="152"/>
      <c r="B142" s="50"/>
      <c r="C142" s="156" t="s">
        <v>132</v>
      </c>
      <c r="D142" s="116"/>
      <c r="E142" s="116"/>
      <c r="F142" s="116"/>
      <c r="G142" s="116"/>
      <c r="H142" s="159"/>
      <c r="I142" s="159"/>
      <c r="J142" s="279"/>
    </row>
    <row r="143" spans="1:10" ht="15.75" customHeight="1" x14ac:dyDescent="0.25">
      <c r="A143" s="152"/>
      <c r="B143" s="50"/>
      <c r="C143" s="74" t="s">
        <v>138</v>
      </c>
      <c r="D143" s="116"/>
      <c r="E143" s="116"/>
      <c r="F143" s="116"/>
      <c r="G143" s="116"/>
      <c r="H143" s="159"/>
      <c r="I143" s="159"/>
      <c r="J143" s="279"/>
    </row>
    <row r="144" spans="1:10" ht="12" customHeight="1" x14ac:dyDescent="0.2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2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2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25">
      <c r="A147" s="1" t="s">
        <v>112</v>
      </c>
      <c r="B147" s="2"/>
      <c r="C147" s="220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25">
      <c r="A148" s="1"/>
      <c r="B148" s="2"/>
      <c r="C148" s="220"/>
      <c r="D148" s="2"/>
      <c r="E148" s="2"/>
      <c r="F148" s="2"/>
      <c r="G148" s="2"/>
      <c r="H148" s="2"/>
      <c r="I148" s="2"/>
      <c r="J148" s="2"/>
    </row>
    <row r="149" spans="1:10" ht="12" customHeight="1" x14ac:dyDescent="0.2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" customHeight="1" x14ac:dyDescent="0.25">
      <c r="A150" s="1" t="s">
        <v>112</v>
      </c>
      <c r="B150" s="255"/>
      <c r="C150" s="144" t="s">
        <v>1</v>
      </c>
      <c r="D150" s="180"/>
      <c r="E150" s="280"/>
      <c r="F150" s="280"/>
      <c r="G150" s="280"/>
      <c r="H150" s="1"/>
      <c r="I150" s="1"/>
      <c r="J150" s="117"/>
    </row>
    <row r="151" spans="1:10" ht="14.1" customHeight="1" x14ac:dyDescent="0.25">
      <c r="A151" s="1"/>
      <c r="B151" s="255"/>
      <c r="C151" s="172" t="s">
        <v>6</v>
      </c>
      <c r="D151" s="184">
        <v>9675</v>
      </c>
      <c r="E151" s="280"/>
      <c r="F151" s="280"/>
      <c r="G151" s="280"/>
      <c r="H151" s="1"/>
      <c r="I151" s="1"/>
      <c r="J151" s="117"/>
    </row>
    <row r="152" spans="1:10" ht="14.1" customHeight="1" x14ac:dyDescent="0.25">
      <c r="A152" s="1"/>
      <c r="B152" s="255"/>
      <c r="C152" s="172" t="s">
        <v>9</v>
      </c>
      <c r="D152" s="184">
        <v>8625</v>
      </c>
      <c r="E152" s="280"/>
      <c r="F152" s="280"/>
      <c r="G152" s="236"/>
      <c r="H152" s="1"/>
      <c r="I152" s="1"/>
      <c r="J152" s="117"/>
    </row>
    <row r="153" spans="1:10" ht="14.1" customHeight="1" x14ac:dyDescent="0.25">
      <c r="A153" s="1"/>
      <c r="B153" s="255"/>
      <c r="C153" s="172" t="s">
        <v>73</v>
      </c>
      <c r="D153" s="184">
        <v>700</v>
      </c>
      <c r="E153" s="280"/>
      <c r="F153" s="280"/>
      <c r="G153" s="280"/>
      <c r="H153" s="1"/>
      <c r="I153" s="1"/>
      <c r="J153" s="117"/>
    </row>
    <row r="154" spans="1:10" ht="14.1" customHeight="1" x14ac:dyDescent="0.25">
      <c r="A154" s="1"/>
      <c r="B154" s="255"/>
      <c r="C154" s="172" t="s">
        <v>49</v>
      </c>
      <c r="D154" s="184">
        <v>19000</v>
      </c>
      <c r="E154" s="280"/>
      <c r="F154" s="280"/>
      <c r="G154" s="280"/>
      <c r="H154" s="1"/>
      <c r="I154" s="1"/>
      <c r="J154" s="117"/>
    </row>
    <row r="155" spans="1:10" ht="14.1" customHeight="1" x14ac:dyDescent="0.25">
      <c r="A155" s="1"/>
      <c r="B155" s="255"/>
      <c r="C155" s="1"/>
      <c r="D155" s="45"/>
      <c r="E155" s="280"/>
      <c r="F155" s="280"/>
      <c r="G155" s="280"/>
      <c r="H155" s="1"/>
      <c r="I155" s="1"/>
      <c r="J155" s="117"/>
    </row>
    <row r="156" spans="1:10" ht="3.75" customHeight="1" x14ac:dyDescent="0.25">
      <c r="A156" s="1"/>
      <c r="B156" s="242"/>
      <c r="C156" s="154"/>
      <c r="D156" s="154"/>
      <c r="E156" s="267"/>
      <c r="F156" s="267"/>
      <c r="G156" s="267"/>
      <c r="H156" s="234"/>
      <c r="I156" s="234"/>
      <c r="J156" s="246"/>
    </row>
    <row r="157" spans="1:10" ht="24.75" customHeight="1" x14ac:dyDescent="0.25">
      <c r="A157" s="1"/>
      <c r="B157" s="255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25">
      <c r="A158" s="1"/>
      <c r="B158" s="193"/>
      <c r="C158" s="225"/>
      <c r="D158" s="225"/>
      <c r="E158" s="225"/>
      <c r="F158" s="225"/>
      <c r="G158" s="225"/>
      <c r="H158" s="225"/>
      <c r="I158" s="225"/>
      <c r="J158" s="13"/>
    </row>
    <row r="159" spans="1:10" ht="61.5" customHeight="1" x14ac:dyDescent="0.25">
      <c r="A159" s="152"/>
      <c r="B159" s="50"/>
      <c r="C159" s="14" t="s">
        <v>16</v>
      </c>
      <c r="D159" s="170" t="s">
        <v>2</v>
      </c>
      <c r="E159" s="14" t="s">
        <v>149</v>
      </c>
      <c r="F159" s="14" t="s">
        <v>150</v>
      </c>
      <c r="G159" s="52" t="s">
        <v>151</v>
      </c>
      <c r="H159" s="14" t="s">
        <v>152</v>
      </c>
      <c r="I159" s="152"/>
      <c r="J159" s="279"/>
    </row>
    <row r="160" spans="1:10" ht="14.1" customHeight="1" x14ac:dyDescent="0.25">
      <c r="A160" s="1"/>
      <c r="B160" s="255"/>
      <c r="C160" s="138" t="s">
        <v>74</v>
      </c>
      <c r="D160" s="91">
        <v>3762</v>
      </c>
      <c r="E160" s="275">
        <f>31.82696</f>
        <v>31.82696</v>
      </c>
      <c r="F160" s="275">
        <f>379.58815</f>
        <v>379.58814999999998</v>
      </c>
      <c r="G160" s="42">
        <f>D160-F160-F161</f>
        <v>2854.2015499999998</v>
      </c>
      <c r="H160" s="275">
        <f>351.0755</f>
        <v>351.07549999999998</v>
      </c>
      <c r="I160" s="1"/>
      <c r="J160" s="117"/>
    </row>
    <row r="161" spans="1:10" ht="14.1" customHeight="1" x14ac:dyDescent="0.25">
      <c r="A161" s="1"/>
      <c r="B161" s="255"/>
      <c r="C161" s="133" t="s">
        <v>53</v>
      </c>
      <c r="D161" s="175"/>
      <c r="E161" s="148">
        <f>170.89886</f>
        <v>170.89886000000001</v>
      </c>
      <c r="F161" s="148">
        <f>528.2103</f>
        <v>528.21029999999996</v>
      </c>
      <c r="G161" s="213"/>
      <c r="H161" s="148">
        <f>461.50571</f>
        <v>461.50571000000002</v>
      </c>
      <c r="I161" s="1"/>
      <c r="J161" s="117"/>
    </row>
    <row r="162" spans="1:10" ht="15.6" customHeight="1" x14ac:dyDescent="0.25">
      <c r="A162" s="1"/>
      <c r="B162" s="255"/>
      <c r="C162" s="163" t="s">
        <v>75</v>
      </c>
      <c r="D162" s="95">
        <v>200</v>
      </c>
      <c r="E162" s="166">
        <f>1.72426</f>
        <v>1.7242599999999999</v>
      </c>
      <c r="F162" s="166">
        <f>47.00686</f>
        <v>47.006860000000003</v>
      </c>
      <c r="G162" s="166">
        <f>D162-F162</f>
        <v>152.99313999999998</v>
      </c>
      <c r="H162" s="166">
        <f>25.0249</f>
        <v>25.024899999999999</v>
      </c>
      <c r="I162" s="1"/>
      <c r="J162" s="117"/>
    </row>
    <row r="163" spans="1:10" ht="14.1" customHeight="1" x14ac:dyDescent="0.25">
      <c r="A163" s="65"/>
      <c r="B163" s="75"/>
      <c r="C163" s="174" t="s">
        <v>76</v>
      </c>
      <c r="D163" s="175">
        <v>5642</v>
      </c>
      <c r="E163" s="175">
        <f>E164+E165+E166</f>
        <v>8.8774800000000003</v>
      </c>
      <c r="F163" s="175">
        <f>F164+F165+F166</f>
        <v>111.6407</v>
      </c>
      <c r="G163" s="175">
        <f>D163-F163</f>
        <v>5530.3593000000001</v>
      </c>
      <c r="H163" s="175">
        <f>H164+H165+H166</f>
        <v>73.156489999999991</v>
      </c>
      <c r="I163" s="65"/>
      <c r="J163" s="111"/>
    </row>
    <row r="164" spans="1:10" ht="14.1" customHeight="1" x14ac:dyDescent="0.25">
      <c r="A164" s="192"/>
      <c r="B164" s="176"/>
      <c r="C164" s="177" t="s">
        <v>77</v>
      </c>
      <c r="D164" s="123"/>
      <c r="E164" s="123">
        <f>3.1096</f>
        <v>3.1095999999999999</v>
      </c>
      <c r="F164" s="123">
        <f>36.38622</f>
        <v>36.386220000000002</v>
      </c>
      <c r="G164" s="123"/>
      <c r="H164" s="123">
        <f>40.80791</f>
        <v>40.80791</v>
      </c>
      <c r="I164" s="181"/>
      <c r="J164" s="126"/>
    </row>
    <row r="165" spans="1:10" ht="14.1" customHeight="1" x14ac:dyDescent="0.25">
      <c r="A165" s="192"/>
      <c r="B165" s="176"/>
      <c r="C165" s="177" t="s">
        <v>78</v>
      </c>
      <c r="D165" s="123"/>
      <c r="E165" s="123">
        <f>3.97888</f>
        <v>3.9788800000000002</v>
      </c>
      <c r="F165" s="123">
        <f>40.45578</f>
        <v>40.455779999999997</v>
      </c>
      <c r="G165" s="123"/>
      <c r="H165" s="123">
        <f>15.5385</f>
        <v>15.538500000000001</v>
      </c>
      <c r="I165" s="181"/>
      <c r="J165" s="182"/>
    </row>
    <row r="166" spans="1:10" ht="14.1" customHeight="1" x14ac:dyDescent="0.25">
      <c r="A166" s="192"/>
      <c r="B166" s="176"/>
      <c r="C166" s="183" t="s">
        <v>79</v>
      </c>
      <c r="D166" s="186"/>
      <c r="E166" s="186">
        <f>1.789</f>
        <v>1.7889999999999999</v>
      </c>
      <c r="F166" s="186">
        <f>34.7987</f>
        <v>34.798699999999997</v>
      </c>
      <c r="G166" s="186"/>
      <c r="H166" s="186">
        <f>16.81008</f>
        <v>16.810079999999999</v>
      </c>
      <c r="I166" s="181"/>
      <c r="J166" s="182"/>
    </row>
    <row r="167" spans="1:10" ht="14.1" customHeight="1" x14ac:dyDescent="0.25">
      <c r="A167" s="1"/>
      <c r="B167" s="255"/>
      <c r="C167" s="70" t="s">
        <v>80</v>
      </c>
      <c r="D167" s="136">
        <v>71</v>
      </c>
      <c r="E167" s="136">
        <f>0</f>
        <v>0</v>
      </c>
      <c r="F167" s="136">
        <f>0</f>
        <v>0</v>
      </c>
      <c r="G167" s="136">
        <f>D167-F167</f>
        <v>71</v>
      </c>
      <c r="H167" s="136">
        <f>0</f>
        <v>0</v>
      </c>
      <c r="I167" s="173"/>
      <c r="J167" s="245"/>
    </row>
    <row r="168" spans="1:10" ht="16.5" customHeight="1" x14ac:dyDescent="0.25">
      <c r="A168" s="1"/>
      <c r="B168" s="255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45"/>
    </row>
    <row r="169" spans="1:10" ht="19.350000000000001" customHeight="1" x14ac:dyDescent="0.2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213.32755999999998</v>
      </c>
      <c r="F169" s="188">
        <f>F160+F161+F162+F163+F167+F168</f>
        <v>1066.4460099999999</v>
      </c>
      <c r="G169" s="188">
        <f>D169-F169</f>
        <v>8608.5539900000003</v>
      </c>
      <c r="H169" s="188">
        <f>H160+H161+H162+H163+H167+H168</f>
        <v>910.76260000000002</v>
      </c>
      <c r="I169" s="159"/>
      <c r="J169" s="155"/>
    </row>
    <row r="170" spans="1:10" ht="42" customHeight="1" x14ac:dyDescent="0.25">
      <c r="A170" s="1"/>
      <c r="B170" s="193"/>
      <c r="C170" s="228" t="s">
        <v>133</v>
      </c>
      <c r="D170" s="228"/>
      <c r="E170" s="228"/>
      <c r="F170" s="228"/>
      <c r="G170" s="228"/>
      <c r="H170" s="225"/>
      <c r="I170" s="225"/>
      <c r="J170" s="13"/>
    </row>
    <row r="171" spans="1:10" ht="12" customHeight="1" x14ac:dyDescent="0.2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2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2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35">
      <c r="A174" s="145"/>
      <c r="B174" s="1"/>
      <c r="C174" s="211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35">
      <c r="A175" s="145" t="s">
        <v>112</v>
      </c>
      <c r="B175" s="1"/>
      <c r="C175" s="211"/>
      <c r="D175" s="164"/>
      <c r="E175" s="164"/>
      <c r="F175" s="164"/>
      <c r="G175" s="164"/>
      <c r="H175" s="1"/>
      <c r="I175" s="1"/>
      <c r="J175" s="1"/>
    </row>
    <row r="176" spans="1:10" ht="12" customHeight="1" x14ac:dyDescent="0.25">
      <c r="A176" s="145"/>
      <c r="B176" s="134"/>
      <c r="C176" s="227"/>
      <c r="D176" s="238"/>
      <c r="E176" s="238"/>
      <c r="F176" s="238"/>
      <c r="G176" s="238"/>
      <c r="H176" s="150"/>
      <c r="I176" s="150"/>
      <c r="J176" s="158"/>
    </row>
    <row r="177" spans="1:10" ht="15" customHeight="1" x14ac:dyDescent="0.25">
      <c r="A177" s="145"/>
      <c r="B177" s="255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25">
      <c r="A178" s="145"/>
      <c r="B178" s="255"/>
      <c r="C178" s="259" t="s">
        <v>83</v>
      </c>
      <c r="D178" s="270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25">
      <c r="A179" s="145"/>
      <c r="B179" s="255"/>
      <c r="C179" s="249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25">
      <c r="A180" s="145"/>
      <c r="B180" s="255"/>
      <c r="C180" s="249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25">
      <c r="A181" s="145"/>
      <c r="B181" s="255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25">
      <c r="A182" s="1"/>
      <c r="B182" s="255"/>
      <c r="C182" s="101" t="s">
        <v>134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25">
      <c r="A183" s="1"/>
      <c r="B183" s="255"/>
      <c r="C183" s="101" t="s">
        <v>135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25">
      <c r="A184" s="1"/>
      <c r="B184" s="255"/>
      <c r="C184" s="101" t="s">
        <v>136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25">
      <c r="A185" s="1"/>
      <c r="B185" s="242"/>
      <c r="C185" s="267"/>
      <c r="D185" s="154"/>
      <c r="E185" s="154"/>
      <c r="F185" s="267"/>
      <c r="G185" s="267"/>
      <c r="H185" s="267"/>
      <c r="I185" s="234"/>
      <c r="J185" s="246"/>
    </row>
    <row r="186" spans="1:10" ht="23.25" customHeight="1" x14ac:dyDescent="0.25">
      <c r="A186" s="1"/>
      <c r="B186" s="255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25">
      <c r="A187" s="1"/>
      <c r="B187" s="255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25">
      <c r="A188" s="1"/>
      <c r="B188" s="255"/>
      <c r="C188" s="68" t="s">
        <v>16</v>
      </c>
      <c r="D188" s="210" t="s">
        <v>2</v>
      </c>
      <c r="E188" s="14" t="s">
        <v>141</v>
      </c>
      <c r="F188" s="68" t="s">
        <v>149</v>
      </c>
      <c r="G188" s="68" t="s">
        <v>150</v>
      </c>
      <c r="H188" s="68" t="s">
        <v>151</v>
      </c>
      <c r="I188" s="68" t="s">
        <v>152</v>
      </c>
      <c r="J188" s="117"/>
    </row>
    <row r="189" spans="1:10" ht="15" customHeight="1" x14ac:dyDescent="0.25">
      <c r="A189" s="1"/>
      <c r="B189" s="255"/>
      <c r="C189" s="90" t="s">
        <v>4</v>
      </c>
      <c r="D189" s="124">
        <v>44142</v>
      </c>
      <c r="E189" s="124">
        <v>43335</v>
      </c>
      <c r="F189" s="124">
        <f>75.44417</f>
        <v>75.44417</v>
      </c>
      <c r="G189" s="124">
        <f>17463.28258</f>
        <v>17463.282579999999</v>
      </c>
      <c r="H189" s="124">
        <f>D189-G189</f>
        <v>26678.717420000001</v>
      </c>
      <c r="I189" s="124">
        <f>13155.88962</f>
        <v>13155.88962</v>
      </c>
      <c r="J189" s="117"/>
    </row>
    <row r="190" spans="1:10" ht="15" customHeight="1" x14ac:dyDescent="0.25">
      <c r="A190" s="1"/>
      <c r="B190" s="255"/>
      <c r="C190" s="90" t="s">
        <v>67</v>
      </c>
      <c r="D190" s="124">
        <v>100</v>
      </c>
      <c r="E190" s="124">
        <v>100</v>
      </c>
      <c r="F190" s="124">
        <f>0.304</f>
        <v>0.30399999999999999</v>
      </c>
      <c r="G190" s="124">
        <f>6.24094</f>
        <v>6.2409400000000002</v>
      </c>
      <c r="H190" s="124">
        <f>D190-G190</f>
        <v>93.759060000000005</v>
      </c>
      <c r="I190" s="124">
        <f>6.85405</f>
        <v>6.85405</v>
      </c>
      <c r="J190" s="117"/>
    </row>
    <row r="191" spans="1:10" ht="15.75" customHeight="1" x14ac:dyDescent="0.25">
      <c r="A191" s="1"/>
      <c r="B191" s="255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25">
      <c r="A192" s="1"/>
      <c r="B192" s="255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75.748170000000002</v>
      </c>
      <c r="G192" s="190">
        <f>SUM(G189:G191)</f>
        <v>17469.523519999999</v>
      </c>
      <c r="H192" s="190">
        <f>D192-G192</f>
        <v>26808.476480000001</v>
      </c>
      <c r="I192" s="190">
        <f>SUM(I189:I191)</f>
        <v>13162.74367</v>
      </c>
      <c r="J192" s="117"/>
    </row>
    <row r="193" spans="1:10" ht="12" customHeight="1" x14ac:dyDescent="0.25">
      <c r="A193" s="1"/>
      <c r="B193" s="255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25">
      <c r="A194" s="1"/>
      <c r="B194" s="160"/>
      <c r="C194" s="104" t="s">
        <v>142</v>
      </c>
      <c r="D194" s="104"/>
      <c r="E194" s="104"/>
      <c r="F194" s="207"/>
      <c r="G194" s="207"/>
      <c r="H194" s="207"/>
      <c r="I194" s="207"/>
      <c r="J194" s="212"/>
    </row>
    <row r="195" spans="1:10" ht="15.9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35">
      <c r="A196" s="145"/>
      <c r="B196" s="1"/>
      <c r="C196" s="211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35">
      <c r="A197" s="145" t="s">
        <v>112</v>
      </c>
      <c r="B197" s="1"/>
      <c r="C197" s="211"/>
      <c r="D197" s="164"/>
      <c r="E197" s="164"/>
      <c r="F197" s="164"/>
      <c r="G197" s="164"/>
      <c r="H197" s="1"/>
      <c r="I197" s="1"/>
      <c r="J197" s="1"/>
    </row>
    <row r="198" spans="1:10" ht="12" customHeight="1" x14ac:dyDescent="0.25">
      <c r="A198" s="145"/>
      <c r="B198" s="134"/>
      <c r="C198" s="227"/>
      <c r="D198" s="238"/>
      <c r="E198" s="238"/>
      <c r="F198" s="238"/>
      <c r="G198" s="238"/>
      <c r="H198" s="150"/>
      <c r="I198" s="150"/>
      <c r="J198" s="158"/>
    </row>
    <row r="199" spans="1:10" ht="23.25" customHeight="1" x14ac:dyDescent="0.25">
      <c r="A199" s="1"/>
      <c r="B199" s="255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25">
      <c r="A200" s="1"/>
      <c r="B200" s="255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25">
      <c r="A201" s="1"/>
      <c r="B201" s="255"/>
      <c r="C201" s="68" t="s">
        <v>16</v>
      </c>
      <c r="D201" s="79" t="s">
        <v>2</v>
      </c>
      <c r="E201" s="68" t="s">
        <v>149</v>
      </c>
      <c r="F201" s="68" t="s">
        <v>150</v>
      </c>
      <c r="G201" s="68" t="s">
        <v>151</v>
      </c>
      <c r="H201" s="68" t="s">
        <v>152</v>
      </c>
      <c r="I201" s="1"/>
      <c r="J201" s="117"/>
    </row>
    <row r="202" spans="1:10" ht="15" customHeight="1" x14ac:dyDescent="0.25">
      <c r="A202" s="1"/>
      <c r="B202" s="255"/>
      <c r="C202" s="90" t="s">
        <v>116</v>
      </c>
      <c r="D202" s="124">
        <v>3987</v>
      </c>
      <c r="E202" s="72">
        <f>E203+E204</f>
        <v>60.750140000000002</v>
      </c>
      <c r="F202" s="72">
        <f>F203+F204</f>
        <v>1549.4483300000002</v>
      </c>
      <c r="G202" s="72">
        <f>D202-F202</f>
        <v>2437.5516699999998</v>
      </c>
      <c r="H202" s="72">
        <f>H203+H204</f>
        <v>2142.6262900000002</v>
      </c>
      <c r="I202" s="249"/>
      <c r="J202" s="117"/>
    </row>
    <row r="203" spans="1:10" ht="15" customHeight="1" x14ac:dyDescent="0.25">
      <c r="A203" s="1"/>
      <c r="B203" s="255"/>
      <c r="C203" s="172" t="s">
        <v>8</v>
      </c>
      <c r="D203" s="124"/>
      <c r="E203" s="72">
        <f>41.8756</f>
        <v>41.875599999999999</v>
      </c>
      <c r="F203" s="72">
        <f>1092.58165</f>
        <v>1092.5816500000001</v>
      </c>
      <c r="G203" s="72"/>
      <c r="H203" s="72">
        <f>1697.28507</f>
        <v>1697.2850699999999</v>
      </c>
      <c r="I203" s="249"/>
      <c r="J203" s="117"/>
    </row>
    <row r="204" spans="1:10" ht="15" customHeight="1" x14ac:dyDescent="0.25">
      <c r="A204" s="1"/>
      <c r="B204" s="255"/>
      <c r="C204" s="172" t="s">
        <v>67</v>
      </c>
      <c r="D204" s="124"/>
      <c r="E204" s="124">
        <f>18.87454</f>
        <v>18.87454</v>
      </c>
      <c r="F204" s="124">
        <f>456.86668</f>
        <v>456.86667999999997</v>
      </c>
      <c r="G204" s="168"/>
      <c r="H204" s="124">
        <f>445.34122</f>
        <v>445.34122000000002</v>
      </c>
      <c r="I204" s="249"/>
      <c r="J204" s="117"/>
    </row>
    <row r="205" spans="1:10" ht="15" customHeight="1" x14ac:dyDescent="0.25">
      <c r="A205" s="1"/>
      <c r="B205" s="255"/>
      <c r="C205" s="90" t="s">
        <v>117</v>
      </c>
      <c r="D205" s="124">
        <v>4613</v>
      </c>
      <c r="E205" s="72">
        <f>272.57728</f>
        <v>272.57727999999997</v>
      </c>
      <c r="F205" s="72">
        <f>1977.20729</f>
        <v>1977.2072900000001</v>
      </c>
      <c r="G205" s="72">
        <f>D205-F205</f>
        <v>2635.7927099999997</v>
      </c>
      <c r="H205" s="72">
        <f>2847.70229</f>
        <v>2847.7022900000002</v>
      </c>
      <c r="I205" s="249"/>
      <c r="J205" s="117"/>
    </row>
    <row r="206" spans="1:10" ht="16.5" customHeight="1" x14ac:dyDescent="0.25">
      <c r="A206" s="1"/>
      <c r="B206" s="255"/>
      <c r="C206" s="179" t="s">
        <v>86</v>
      </c>
      <c r="D206" s="190">
        <f>D205+D202</f>
        <v>8600</v>
      </c>
      <c r="E206" s="190">
        <f>SUM(E202,E205)</f>
        <v>333.32741999999996</v>
      </c>
      <c r="F206" s="190">
        <f>SUM(F202,F205)</f>
        <v>3526.6556200000005</v>
      </c>
      <c r="G206" s="190">
        <f>D206-F206</f>
        <v>5073.3443799999995</v>
      </c>
      <c r="H206" s="190">
        <f>SUM(H202,H205)</f>
        <v>4990.3285800000003</v>
      </c>
      <c r="I206" s="249"/>
      <c r="J206" s="117"/>
    </row>
    <row r="207" spans="1:10" ht="18.95" customHeight="1" x14ac:dyDescent="0.25">
      <c r="A207" s="1"/>
      <c r="B207" s="160"/>
      <c r="C207" s="201"/>
      <c r="D207" s="104"/>
      <c r="E207" s="104"/>
      <c r="F207" s="207"/>
      <c r="G207" s="207"/>
      <c r="H207" s="207"/>
      <c r="I207" s="207"/>
      <c r="J207" s="212"/>
    </row>
    <row r="208" spans="1:10" ht="15.9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35">
      <c r="A209" s="145"/>
      <c r="B209" s="1"/>
      <c r="C209" s="211" t="s">
        <v>114</v>
      </c>
      <c r="D209" s="164"/>
      <c r="E209" s="164"/>
      <c r="F209" s="164"/>
      <c r="G209" s="164"/>
      <c r="H209" s="1"/>
      <c r="I209" s="1"/>
      <c r="J209" s="1"/>
    </row>
    <row r="210" spans="1:10" ht="21.6" customHeight="1" x14ac:dyDescent="0.35">
      <c r="A210" s="145" t="s">
        <v>112</v>
      </c>
      <c r="B210" s="1"/>
      <c r="C210" s="211"/>
      <c r="D210" s="164"/>
      <c r="E210" s="164"/>
      <c r="F210" s="164"/>
      <c r="G210" s="164"/>
      <c r="H210" s="1"/>
      <c r="I210" s="1"/>
      <c r="J210" s="1"/>
    </row>
    <row r="211" spans="1:10" ht="12" customHeight="1" x14ac:dyDescent="0.25">
      <c r="A211" s="145"/>
      <c r="B211" s="134"/>
      <c r="C211" s="227"/>
      <c r="D211" s="238"/>
      <c r="E211" s="238"/>
      <c r="F211" s="238"/>
      <c r="G211" s="238"/>
      <c r="H211" s="150"/>
      <c r="I211" s="150"/>
      <c r="J211" s="158"/>
    </row>
    <row r="212" spans="1:10" ht="23.25" customHeight="1" x14ac:dyDescent="0.25">
      <c r="A212" s="1"/>
      <c r="B212" s="255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25">
      <c r="A213" s="1"/>
      <c r="B213" s="255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25">
      <c r="A214" s="1"/>
      <c r="B214" s="255"/>
      <c r="C214" s="68" t="s">
        <v>16</v>
      </c>
      <c r="D214" s="79" t="s">
        <v>2</v>
      </c>
      <c r="E214" s="68" t="s">
        <v>149</v>
      </c>
      <c r="F214" s="68" t="s">
        <v>150</v>
      </c>
      <c r="G214" s="68" t="s">
        <v>151</v>
      </c>
      <c r="H214" s="68" t="s">
        <v>152</v>
      </c>
      <c r="I214" s="1"/>
      <c r="J214" s="117"/>
    </row>
    <row r="215" spans="1:10" ht="15" customHeight="1" x14ac:dyDescent="0.25">
      <c r="A215" s="1"/>
      <c r="B215" s="255"/>
      <c r="C215" s="90" t="s">
        <v>116</v>
      </c>
      <c r="D215" s="124">
        <v>5090</v>
      </c>
      <c r="E215" s="72">
        <f>E216+E217</f>
        <v>201.73015000000001</v>
      </c>
      <c r="F215" s="72">
        <f>F216+F217</f>
        <v>1553.8325399999999</v>
      </c>
      <c r="G215" s="72">
        <f>D215-F215</f>
        <v>3536.1674600000001</v>
      </c>
      <c r="H215" s="72">
        <f>H216+H217</f>
        <v>1764.1846499999999</v>
      </c>
      <c r="I215" s="249"/>
      <c r="J215" s="117"/>
    </row>
    <row r="216" spans="1:10" ht="15" customHeight="1" x14ac:dyDescent="0.25">
      <c r="A216" s="1"/>
      <c r="B216" s="255"/>
      <c r="C216" s="172" t="s">
        <v>8</v>
      </c>
      <c r="D216" s="124"/>
      <c r="E216" s="72">
        <f>197.8152</f>
        <v>197.8152</v>
      </c>
      <c r="F216" s="72">
        <f>1310.7801</f>
        <v>1310.7800999999999</v>
      </c>
      <c r="G216" s="72"/>
      <c r="H216" s="72">
        <f>1469.80225</f>
        <v>1469.80225</v>
      </c>
      <c r="I216" s="249"/>
      <c r="J216" s="117"/>
    </row>
    <row r="217" spans="1:10" ht="15" customHeight="1" x14ac:dyDescent="0.25">
      <c r="A217" s="1"/>
      <c r="B217" s="255"/>
      <c r="C217" s="172" t="s">
        <v>67</v>
      </c>
      <c r="D217" s="124"/>
      <c r="E217" s="124">
        <f>3.91495</f>
        <v>3.9149500000000002</v>
      </c>
      <c r="F217" s="124">
        <f>243.05244</f>
        <v>243.05243999999999</v>
      </c>
      <c r="G217" s="168"/>
      <c r="H217" s="124">
        <f>294.3824</f>
        <v>294.38240000000002</v>
      </c>
      <c r="I217" s="249"/>
      <c r="J217" s="117"/>
    </row>
    <row r="218" spans="1:10" ht="15" customHeight="1" x14ac:dyDescent="0.25">
      <c r="A218" s="1"/>
      <c r="B218" s="255"/>
      <c r="C218" s="90" t="s">
        <v>117</v>
      </c>
      <c r="D218" s="124">
        <v>2981</v>
      </c>
      <c r="E218" s="72">
        <f>65.2921</f>
        <v>65.292100000000005</v>
      </c>
      <c r="F218" s="72">
        <f>1096.58385</f>
        <v>1096.58385</v>
      </c>
      <c r="G218" s="72">
        <f>D218-F218</f>
        <v>1884.41615</v>
      </c>
      <c r="H218" s="72">
        <f>1468.9364</f>
        <v>1468.9364</v>
      </c>
      <c r="I218" s="249"/>
      <c r="J218" s="117"/>
    </row>
    <row r="219" spans="1:10" ht="16.5" customHeight="1" x14ac:dyDescent="0.25">
      <c r="A219" s="1"/>
      <c r="B219" s="255"/>
      <c r="C219" s="179" t="s">
        <v>86</v>
      </c>
      <c r="D219" s="190">
        <f>D218+D215</f>
        <v>8071</v>
      </c>
      <c r="E219" s="190">
        <f>SUM(E215,E218)</f>
        <v>267.02224999999999</v>
      </c>
      <c r="F219" s="190">
        <f>SUM(F215,F218)</f>
        <v>2650.4163899999999</v>
      </c>
      <c r="G219" s="190">
        <f>D219-F219</f>
        <v>5420.5836099999997</v>
      </c>
      <c r="H219" s="190">
        <f>SUM(H215,H218)</f>
        <v>3233.1210499999997</v>
      </c>
      <c r="I219" s="249"/>
      <c r="J219" s="117"/>
    </row>
    <row r="220" spans="1:10" ht="18.95" customHeight="1" x14ac:dyDescent="0.25">
      <c r="A220" s="1"/>
      <c r="B220" s="160"/>
      <c r="C220" s="201"/>
      <c r="D220" s="104"/>
      <c r="E220" s="104"/>
      <c r="F220" s="207"/>
      <c r="G220" s="207"/>
      <c r="H220" s="207"/>
      <c r="I220" s="207"/>
      <c r="J220" s="212"/>
    </row>
    <row r="221" spans="1:10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25">
      <c r="A222" s="215"/>
      <c r="B222" s="215"/>
      <c r="C222" s="220" t="s">
        <v>88</v>
      </c>
      <c r="D222" s="215"/>
      <c r="E222" s="215"/>
      <c r="F222" s="215"/>
      <c r="G222" s="215"/>
      <c r="H222" s="215"/>
      <c r="I222" s="215"/>
      <c r="J222" s="225"/>
    </row>
    <row r="223" spans="1:10" ht="21.6" customHeight="1" x14ac:dyDescent="0.25">
      <c r="A223" s="215" t="s">
        <v>112</v>
      </c>
      <c r="B223" s="215"/>
      <c r="C223" s="220"/>
      <c r="D223" s="215"/>
      <c r="E223" s="215"/>
      <c r="F223" s="215"/>
      <c r="G223" s="215"/>
      <c r="H223" s="215"/>
      <c r="I223" s="215"/>
      <c r="J223" s="225"/>
    </row>
    <row r="224" spans="1:10" ht="14.1" customHeight="1" x14ac:dyDescent="0.2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" customHeight="1" x14ac:dyDescent="0.2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" customHeight="1" x14ac:dyDescent="0.25">
      <c r="A226" s="1"/>
      <c r="B226" s="255"/>
      <c r="C226" s="259" t="s">
        <v>83</v>
      </c>
      <c r="D226" s="270">
        <v>3003</v>
      </c>
      <c r="E226" s="145"/>
      <c r="F226" s="226"/>
      <c r="G226" s="1"/>
      <c r="H226" s="1"/>
      <c r="I226" s="1"/>
      <c r="J226" s="117"/>
    </row>
    <row r="227" spans="1:10" ht="14.1" customHeight="1" x14ac:dyDescent="0.25">
      <c r="A227" s="1"/>
      <c r="B227" s="255"/>
      <c r="C227" s="249" t="s">
        <v>89</v>
      </c>
      <c r="D227" s="46">
        <v>9419</v>
      </c>
      <c r="E227" s="145"/>
      <c r="F227" s="226"/>
      <c r="G227" s="1"/>
      <c r="H227" s="1"/>
      <c r="I227" s="1"/>
      <c r="J227" s="117"/>
    </row>
    <row r="228" spans="1:10" ht="14.1" customHeight="1" x14ac:dyDescent="0.25">
      <c r="A228" s="1"/>
      <c r="B228" s="255"/>
      <c r="C228" s="249" t="s">
        <v>90</v>
      </c>
      <c r="D228" s="46">
        <v>7106</v>
      </c>
      <c r="E228" s="145"/>
      <c r="F228" s="226"/>
      <c r="G228" s="1"/>
      <c r="H228" s="1"/>
      <c r="I228" s="1"/>
      <c r="J228" s="117"/>
    </row>
    <row r="229" spans="1:10" ht="13.5" customHeight="1" x14ac:dyDescent="0.25">
      <c r="A229" s="1"/>
      <c r="B229" s="255"/>
      <c r="C229" s="249" t="s">
        <v>118</v>
      </c>
      <c r="D229" s="46">
        <v>382</v>
      </c>
      <c r="E229" s="145"/>
      <c r="F229" s="226"/>
      <c r="G229" s="1"/>
      <c r="H229" s="1"/>
      <c r="I229" s="1"/>
      <c r="J229" s="117"/>
    </row>
    <row r="230" spans="1:10" ht="14.25" customHeight="1" x14ac:dyDescent="0.25">
      <c r="A230" s="1"/>
      <c r="B230" s="255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" customHeight="1" x14ac:dyDescent="0.25">
      <c r="A231" s="1"/>
      <c r="B231" s="255"/>
      <c r="C231" s="229" t="s">
        <v>91</v>
      </c>
      <c r="D231" s="230"/>
      <c r="E231" s="173"/>
      <c r="F231" s="173"/>
      <c r="G231" s="1"/>
      <c r="H231" s="1"/>
      <c r="I231" s="1"/>
      <c r="J231" s="117"/>
    </row>
    <row r="232" spans="1:10" ht="15" customHeight="1" x14ac:dyDescent="0.25">
      <c r="A232" s="1"/>
      <c r="B232" s="255"/>
      <c r="C232" s="101" t="s">
        <v>101</v>
      </c>
      <c r="D232" s="231"/>
      <c r="E232" s="1"/>
      <c r="F232" s="1"/>
      <c r="G232" s="1"/>
      <c r="H232" s="1"/>
      <c r="I232" s="1"/>
      <c r="J232" s="117"/>
    </row>
    <row r="233" spans="1:10" ht="14.25" customHeight="1" x14ac:dyDescent="0.25">
      <c r="A233" s="1"/>
      <c r="B233" s="255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25">
      <c r="A234" s="1"/>
      <c r="B234" s="232"/>
      <c r="C234" s="235" t="s">
        <v>15</v>
      </c>
      <c r="D234" s="235"/>
      <c r="E234" s="235"/>
      <c r="F234" s="235"/>
      <c r="G234" s="235"/>
      <c r="H234" s="235"/>
      <c r="I234" s="235"/>
      <c r="J234" s="239"/>
    </row>
    <row r="235" spans="1:10" ht="14.1" customHeight="1" x14ac:dyDescent="0.25">
      <c r="A235" s="1"/>
      <c r="B235" s="241"/>
      <c r="C235" s="243"/>
      <c r="D235" s="243"/>
      <c r="E235" s="243"/>
      <c r="F235" s="243"/>
      <c r="G235" s="243"/>
      <c r="H235" s="243"/>
      <c r="I235" s="243"/>
      <c r="J235" s="117"/>
    </row>
    <row r="236" spans="1:10" ht="54" customHeight="1" x14ac:dyDescent="0.25">
      <c r="A236" s="1"/>
      <c r="B236" s="255"/>
      <c r="C236" s="68" t="s">
        <v>16</v>
      </c>
      <c r="D236" s="244" t="s">
        <v>2</v>
      </c>
      <c r="E236" s="68" t="s">
        <v>149</v>
      </c>
      <c r="F236" s="68" t="s">
        <v>150</v>
      </c>
      <c r="G236" s="68" t="s">
        <v>151</v>
      </c>
      <c r="H236" s="68" t="s">
        <v>152</v>
      </c>
      <c r="I236" s="1"/>
      <c r="J236" s="111"/>
    </row>
    <row r="237" spans="1:10" ht="14.1" customHeight="1" x14ac:dyDescent="0.25">
      <c r="A237" s="65"/>
      <c r="B237" s="75"/>
      <c r="C237" s="90" t="s">
        <v>92</v>
      </c>
      <c r="D237" s="124">
        <v>800</v>
      </c>
      <c r="E237" s="124">
        <f>10.2013</f>
        <v>10.2013</v>
      </c>
      <c r="F237" s="124">
        <f>143.97306</f>
        <v>143.97306</v>
      </c>
      <c r="G237" s="124">
        <f>D237-F237</f>
        <v>656.02693999999997</v>
      </c>
      <c r="H237" s="124">
        <f>232.20783</f>
        <v>232.20783</v>
      </c>
      <c r="I237" s="65"/>
      <c r="J237" s="245"/>
    </row>
    <row r="238" spans="1:10" ht="14.1" customHeight="1" x14ac:dyDescent="0.25">
      <c r="A238" s="1"/>
      <c r="B238" s="255"/>
      <c r="C238" s="90" t="s">
        <v>93</v>
      </c>
      <c r="D238" s="247">
        <v>2193</v>
      </c>
      <c r="E238" s="124">
        <f>4.82865</f>
        <v>4.8286499999999997</v>
      </c>
      <c r="F238" s="124">
        <f>252.06585</f>
        <v>252.06585000000001</v>
      </c>
      <c r="G238" s="124">
        <f>D238-F238</f>
        <v>1940.93415</v>
      </c>
      <c r="H238" s="124">
        <f>416.99095</f>
        <v>416.99095</v>
      </c>
      <c r="I238" s="173"/>
      <c r="J238" s="111"/>
    </row>
    <row r="239" spans="1:10" ht="16.5" customHeight="1" x14ac:dyDescent="0.25">
      <c r="A239" s="65"/>
      <c r="B239" s="75"/>
      <c r="C239" s="146" t="s">
        <v>80</v>
      </c>
      <c r="D239" s="247">
        <v>10</v>
      </c>
      <c r="E239" s="168">
        <f>0</f>
        <v>0</v>
      </c>
      <c r="F239" s="168">
        <f>0.05414</f>
        <v>5.4140000000000001E-2</v>
      </c>
      <c r="G239" s="124">
        <f>D239-F239</f>
        <v>9.9458599999999997</v>
      </c>
      <c r="H239" s="168">
        <f>0.61006</f>
        <v>0.61006000000000005</v>
      </c>
      <c r="I239" s="65"/>
      <c r="J239" s="250"/>
    </row>
    <row r="240" spans="1:10" ht="18.75" customHeight="1" x14ac:dyDescent="0.25">
      <c r="A240" s="65"/>
      <c r="B240" s="251"/>
      <c r="C240" s="146" t="s">
        <v>94</v>
      </c>
      <c r="D240" s="223"/>
      <c r="E240" s="168">
        <f>0.0059</f>
        <v>5.8999999999999999E-3</v>
      </c>
      <c r="F240" s="168">
        <f>0.0239</f>
        <v>2.3900000000000001E-2</v>
      </c>
      <c r="G240" s="124">
        <f>D240-F240</f>
        <v>-2.3900000000000001E-2</v>
      </c>
      <c r="H240" s="168">
        <f>0.047</f>
        <v>4.7E-2</v>
      </c>
      <c r="I240" s="283"/>
      <c r="J240" s="117"/>
    </row>
    <row r="241" spans="1:10" ht="14.1" customHeight="1" x14ac:dyDescent="0.25">
      <c r="A241" s="1"/>
      <c r="B241" s="255"/>
      <c r="C241" s="179" t="s">
        <v>86</v>
      </c>
      <c r="D241" s="5">
        <f>D226</f>
        <v>3003</v>
      </c>
      <c r="E241" s="190">
        <f>SUM(E237:E240)</f>
        <v>15.03585</v>
      </c>
      <c r="F241" s="190">
        <f>SUM(F237:F240)</f>
        <v>396.11695000000003</v>
      </c>
      <c r="G241" s="190">
        <f>D241-F241</f>
        <v>2606.8830499999999</v>
      </c>
      <c r="H241" s="190">
        <f>H237+H238+H239+H240</f>
        <v>649.85583999999994</v>
      </c>
      <c r="I241" s="1"/>
      <c r="J241" s="117"/>
    </row>
    <row r="242" spans="1:10" ht="14.1" customHeight="1" x14ac:dyDescent="0.25">
      <c r="A242" s="1"/>
      <c r="B242" s="255"/>
      <c r="C242" s="20"/>
      <c r="D242" s="33"/>
      <c r="E242" s="33"/>
      <c r="F242" s="33"/>
      <c r="G242" s="33"/>
      <c r="H242" s="33"/>
      <c r="I242" s="1"/>
      <c r="J242" s="117"/>
    </row>
    <row r="243" spans="1:10" ht="14.1" customHeight="1" x14ac:dyDescent="0.2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5.95" customHeight="1" x14ac:dyDescent="0.25">
      <c r="A244" s="1"/>
      <c r="C244" s="145" t="s">
        <v>112</v>
      </c>
    </row>
    <row r="245" spans="1:10" ht="14.1" customHeight="1" x14ac:dyDescent="0.25">
      <c r="A245" s="1" t="s">
        <v>112</v>
      </c>
    </row>
    <row r="246" spans="1:10" ht="30" customHeight="1" x14ac:dyDescent="0.35">
      <c r="A246" s="215"/>
      <c r="B246" s="1"/>
      <c r="C246" s="211" t="s">
        <v>95</v>
      </c>
      <c r="D246" s="152"/>
      <c r="E246" s="1"/>
      <c r="F246" s="1"/>
      <c r="G246" s="1"/>
      <c r="H246" s="1"/>
      <c r="I246" s="1"/>
      <c r="J246" s="1"/>
    </row>
    <row r="247" spans="1:10" ht="17.100000000000001" customHeight="1" x14ac:dyDescent="0.25">
      <c r="B247" s="120"/>
      <c r="C247" s="240"/>
      <c r="D247" s="240"/>
      <c r="E247" s="240"/>
      <c r="F247" s="240"/>
      <c r="G247" s="240"/>
      <c r="H247" s="240"/>
      <c r="I247" s="240"/>
      <c r="J247" s="58"/>
    </row>
    <row r="248" spans="1:10" ht="6" customHeight="1" x14ac:dyDescent="0.2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2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25">
      <c r="B250" s="69"/>
      <c r="C250" s="259" t="s">
        <v>83</v>
      </c>
      <c r="D250" s="270">
        <f>37252+1500-880</f>
        <v>37872</v>
      </c>
      <c r="E250" s="253" t="s">
        <v>4</v>
      </c>
      <c r="F250" s="99">
        <v>24359</v>
      </c>
      <c r="G250" s="249" t="s">
        <v>20</v>
      </c>
      <c r="H250" s="46">
        <v>14132</v>
      </c>
      <c r="I250" s="145"/>
      <c r="J250" s="127"/>
    </row>
    <row r="251" spans="1:10" ht="14.25" customHeight="1" x14ac:dyDescent="0.25">
      <c r="B251" s="69"/>
      <c r="C251" s="249" t="s">
        <v>90</v>
      </c>
      <c r="D251" s="46">
        <f>25446+880-1500</f>
        <v>24826</v>
      </c>
      <c r="E251" s="173" t="s">
        <v>93</v>
      </c>
      <c r="F251" s="45">
        <v>8000</v>
      </c>
      <c r="G251" s="249" t="s">
        <v>21</v>
      </c>
      <c r="H251" s="46">
        <v>3678</v>
      </c>
      <c r="I251" s="145"/>
      <c r="J251" s="127"/>
    </row>
    <row r="252" spans="1:10" ht="14.25" customHeight="1" x14ac:dyDescent="0.25">
      <c r="B252" s="69"/>
      <c r="C252" s="249" t="s">
        <v>89</v>
      </c>
      <c r="D252" s="46">
        <v>8940</v>
      </c>
      <c r="E252" s="173" t="s">
        <v>59</v>
      </c>
      <c r="F252" s="45">
        <v>5500</v>
      </c>
      <c r="G252" s="249" t="s">
        <v>98</v>
      </c>
      <c r="H252" s="46">
        <v>5043</v>
      </c>
      <c r="I252" s="145"/>
      <c r="J252" s="127"/>
    </row>
    <row r="253" spans="1:10" ht="14.1" customHeight="1" x14ac:dyDescent="0.25">
      <c r="B253" s="69"/>
      <c r="C253" s="249"/>
      <c r="D253" s="46"/>
      <c r="E253" s="128"/>
      <c r="F253" s="141"/>
      <c r="G253" s="249" t="s">
        <v>99</v>
      </c>
      <c r="H253" s="46">
        <v>1506</v>
      </c>
      <c r="I253" s="145"/>
      <c r="J253" s="127"/>
    </row>
    <row r="254" spans="1:10" ht="14.1" customHeight="1" x14ac:dyDescent="0.2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35" customHeight="1" x14ac:dyDescent="0.25">
      <c r="B255" s="69"/>
      <c r="C255" s="204" t="s">
        <v>129</v>
      </c>
      <c r="D255" s="173"/>
      <c r="E255" s="173"/>
      <c r="F255" s="173"/>
      <c r="G255" s="1"/>
      <c r="H255" s="173"/>
      <c r="I255" s="173"/>
      <c r="J255" s="245"/>
    </row>
    <row r="256" spans="1:10" ht="13.35" customHeight="1" x14ac:dyDescent="0.2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2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2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25">
      <c r="B259" s="232"/>
      <c r="C259" s="235" t="s">
        <v>15</v>
      </c>
      <c r="D259" s="235"/>
      <c r="E259" s="235"/>
      <c r="F259" s="235"/>
      <c r="G259" s="235"/>
      <c r="H259" s="235"/>
      <c r="I259" s="235"/>
      <c r="J259" s="239"/>
    </row>
    <row r="260" spans="1:10" ht="18.75" customHeight="1" x14ac:dyDescent="0.25">
      <c r="B260" s="193"/>
      <c r="C260" s="225"/>
      <c r="D260" s="225"/>
      <c r="E260" s="225"/>
      <c r="F260" s="225"/>
      <c r="G260" s="225"/>
      <c r="H260" s="225"/>
      <c r="I260" s="225"/>
      <c r="J260" s="13"/>
    </row>
    <row r="261" spans="1:10" ht="64.5" customHeight="1" x14ac:dyDescent="0.25">
      <c r="B261" s="69"/>
      <c r="C261" s="224" t="s">
        <v>16</v>
      </c>
      <c r="D261" s="233" t="s">
        <v>17</v>
      </c>
      <c r="E261" s="68" t="s">
        <v>137</v>
      </c>
      <c r="F261" s="224" t="s">
        <v>149</v>
      </c>
      <c r="G261" s="224" t="s">
        <v>150</v>
      </c>
      <c r="H261" s="224" t="s">
        <v>151</v>
      </c>
      <c r="I261" s="224" t="s">
        <v>152</v>
      </c>
      <c r="J261" s="127"/>
    </row>
    <row r="262" spans="1:10" ht="14.1" customHeight="1" x14ac:dyDescent="0.25">
      <c r="A262" s="215"/>
      <c r="B262" s="69"/>
      <c r="C262" s="248" t="s">
        <v>19</v>
      </c>
      <c r="D262" s="252">
        <f t="shared" ref="D262:I262" si="17">D266+D265+D264+D263</f>
        <v>24359</v>
      </c>
      <c r="E262" s="252">
        <f t="shared" si="17"/>
        <v>27736</v>
      </c>
      <c r="F262" s="254">
        <f t="shared" si="17"/>
        <v>435.20443999999998</v>
      </c>
      <c r="G262" s="254">
        <f t="shared" si="17"/>
        <v>2283.5255399999996</v>
      </c>
      <c r="H262" s="254">
        <f>H266+H265+H264+H263</f>
        <v>25452.474460000001</v>
      </c>
      <c r="I262" s="254">
        <f t="shared" si="17"/>
        <v>5069.9594699999998</v>
      </c>
      <c r="J262" s="127"/>
    </row>
    <row r="263" spans="1:10" ht="14.1" customHeight="1" x14ac:dyDescent="0.25">
      <c r="A263" s="215"/>
      <c r="B263" s="69"/>
      <c r="C263" s="256" t="s">
        <v>102</v>
      </c>
      <c r="D263" s="257">
        <v>14132</v>
      </c>
      <c r="E263" s="257">
        <v>16670</v>
      </c>
      <c r="F263" s="258">
        <f>56.37248</f>
        <v>56.372480000000003</v>
      </c>
      <c r="G263" s="258">
        <f>710.89157</f>
        <v>710.89157</v>
      </c>
      <c r="H263" s="258">
        <f t="shared" ref="H263:H267" si="18">E263-G263</f>
        <v>15959.10843</v>
      </c>
      <c r="I263" s="258">
        <f>3658.15481</f>
        <v>3658.15481</v>
      </c>
      <c r="J263" s="127"/>
    </row>
    <row r="264" spans="1:10" ht="14.1" customHeight="1" x14ac:dyDescent="0.25">
      <c r="A264" s="215"/>
      <c r="B264" s="69"/>
      <c r="C264" s="260" t="s">
        <v>21</v>
      </c>
      <c r="D264" s="257">
        <v>3678</v>
      </c>
      <c r="E264" s="257">
        <v>4339</v>
      </c>
      <c r="F264" s="258">
        <f>265.95</f>
        <v>265.95</v>
      </c>
      <c r="G264" s="258">
        <f>390.3525</f>
        <v>390.35250000000002</v>
      </c>
      <c r="H264" s="258">
        <f t="shared" si="18"/>
        <v>3948.6475</v>
      </c>
      <c r="I264" s="258">
        <f>412.41015</f>
        <v>412.41014999999999</v>
      </c>
      <c r="J264" s="127"/>
    </row>
    <row r="265" spans="1:10" ht="14.1" customHeight="1" x14ac:dyDescent="0.25">
      <c r="A265" s="215"/>
      <c r="B265" s="69"/>
      <c r="C265" s="260" t="s">
        <v>99</v>
      </c>
      <c r="D265" s="257">
        <v>1506</v>
      </c>
      <c r="E265" s="257">
        <v>1571</v>
      </c>
      <c r="F265" s="258">
        <f>56.20836</f>
        <v>56.208359999999999</v>
      </c>
      <c r="G265" s="258">
        <f>639.99188</f>
        <v>639.99188000000004</v>
      </c>
      <c r="H265" s="258">
        <f t="shared" si="18"/>
        <v>931.00811999999996</v>
      </c>
      <c r="I265" s="258">
        <f>875.93425</f>
        <v>875.93425000000002</v>
      </c>
      <c r="J265" s="127"/>
    </row>
    <row r="266" spans="1:10" ht="14.1" customHeight="1" x14ac:dyDescent="0.25">
      <c r="A266" s="215"/>
      <c r="B266" s="69"/>
      <c r="C266" s="262" t="s">
        <v>122</v>
      </c>
      <c r="D266" s="263">
        <v>5043</v>
      </c>
      <c r="E266" s="263">
        <v>5156</v>
      </c>
      <c r="F266" s="258">
        <f>56.6736</f>
        <v>56.6736</v>
      </c>
      <c r="G266" s="258">
        <f>542.28959</f>
        <v>542.28958999999998</v>
      </c>
      <c r="H266" s="258">
        <f t="shared" si="18"/>
        <v>4613.7104099999997</v>
      </c>
      <c r="I266" s="258">
        <f>123.46026</f>
        <v>123.46026000000001</v>
      </c>
      <c r="J266" s="127"/>
    </row>
    <row r="267" spans="1:10" ht="14.1" customHeight="1" x14ac:dyDescent="0.25">
      <c r="A267" s="215"/>
      <c r="B267" s="69"/>
      <c r="C267" s="265" t="s">
        <v>59</v>
      </c>
      <c r="D267" s="266">
        <v>5500</v>
      </c>
      <c r="E267" s="266">
        <v>5500</v>
      </c>
      <c r="F267" s="268">
        <f>271.01726</f>
        <v>271.01726000000002</v>
      </c>
      <c r="G267" s="268">
        <f>697.68632</f>
        <v>697.68632000000002</v>
      </c>
      <c r="H267" s="268">
        <f t="shared" si="18"/>
        <v>4802.3136800000002</v>
      </c>
      <c r="I267" s="268">
        <f>574.45342</f>
        <v>574.45342000000005</v>
      </c>
      <c r="J267" s="127"/>
    </row>
    <row r="268" spans="1:10" ht="14.1" customHeight="1" x14ac:dyDescent="0.25">
      <c r="A268" s="215"/>
      <c r="B268" s="69"/>
      <c r="C268" s="248" t="s">
        <v>22</v>
      </c>
      <c r="D268" s="252">
        <v>8000</v>
      </c>
      <c r="E268" s="252">
        <v>8000</v>
      </c>
      <c r="F268" s="269">
        <f>F270+F269</f>
        <v>20.289290000000001</v>
      </c>
      <c r="G268" s="269">
        <f>G270+G269</f>
        <v>1086.88474</v>
      </c>
      <c r="H268" s="269">
        <f>E268-G268</f>
        <v>6913.1152600000005</v>
      </c>
      <c r="I268" s="269">
        <f>I270+I269</f>
        <v>1286.5467200000001</v>
      </c>
      <c r="J268" s="127"/>
    </row>
    <row r="269" spans="1:10" ht="14.1" customHeight="1" x14ac:dyDescent="0.25">
      <c r="A269" s="215"/>
      <c r="B269" s="69"/>
      <c r="C269" s="260" t="s">
        <v>53</v>
      </c>
      <c r="D269" s="271"/>
      <c r="E269" s="257"/>
      <c r="F269" s="258">
        <f>0</f>
        <v>0</v>
      </c>
      <c r="G269" s="258">
        <f>447.26843</f>
        <v>447.26843000000002</v>
      </c>
      <c r="H269" s="258"/>
      <c r="I269" s="258">
        <f>517.84866</f>
        <v>517.84866</v>
      </c>
      <c r="J269" s="127"/>
    </row>
    <row r="270" spans="1:10" ht="14.1" customHeight="1" x14ac:dyDescent="0.25">
      <c r="A270" s="215"/>
      <c r="B270" s="69"/>
      <c r="C270" s="273" t="s">
        <v>103</v>
      </c>
      <c r="D270" s="274"/>
      <c r="E270" s="276"/>
      <c r="F270" s="277">
        <f>20.28929</f>
        <v>20.289290000000001</v>
      </c>
      <c r="G270" s="277">
        <f>639.61631</f>
        <v>639.61631</v>
      </c>
      <c r="H270" s="277"/>
      <c r="I270" s="277">
        <f>768.69806</f>
        <v>768.69806000000005</v>
      </c>
      <c r="J270" s="127"/>
    </row>
    <row r="271" spans="1:10" ht="14.1" customHeight="1" x14ac:dyDescent="0.25">
      <c r="A271" s="215"/>
      <c r="B271" s="69"/>
      <c r="C271" s="265" t="s">
        <v>34</v>
      </c>
      <c r="D271" s="266">
        <v>13</v>
      </c>
      <c r="E271" s="266">
        <v>13</v>
      </c>
      <c r="F271" s="268">
        <f>0</f>
        <v>0</v>
      </c>
      <c r="G271" s="268">
        <f>0.0135</f>
        <v>1.35E-2</v>
      </c>
      <c r="H271" s="268">
        <f>E271-G271</f>
        <v>12.986499999999999</v>
      </c>
      <c r="I271" s="268">
        <f>0.0264</f>
        <v>2.64E-2</v>
      </c>
      <c r="J271" s="127"/>
    </row>
    <row r="272" spans="1:10" ht="14.1" customHeight="1" x14ac:dyDescent="0.25">
      <c r="A272" s="215"/>
      <c r="B272" s="69"/>
      <c r="C272" s="278" t="s">
        <v>104</v>
      </c>
      <c r="D272" s="281"/>
      <c r="E272" s="282"/>
      <c r="F272" s="268">
        <f>0.05088</f>
        <v>5.0880000000000002E-2</v>
      </c>
      <c r="G272" s="268">
        <f>3.99092</f>
        <v>3.99092</v>
      </c>
      <c r="H272" s="268">
        <f>E272-G272</f>
        <v>-3.99092</v>
      </c>
      <c r="I272" s="268">
        <f>4.38068</f>
        <v>4.3806799999999999</v>
      </c>
      <c r="J272" s="127"/>
    </row>
    <row r="273" spans="1:10" ht="19.5" customHeight="1" x14ac:dyDescent="0.25">
      <c r="A273" s="215"/>
      <c r="B273" s="69"/>
      <c r="C273" s="284" t="s">
        <v>40</v>
      </c>
      <c r="D273" s="285">
        <f>D262+D267+D268+D271+D272</f>
        <v>37872</v>
      </c>
      <c r="E273" s="285">
        <f>E262+E267+E268+E271+E272</f>
        <v>41249</v>
      </c>
      <c r="F273" s="286">
        <f t="shared" ref="F273:I273" si="19">F262+F267+F268+F271+F272</f>
        <v>726.56187000000011</v>
      </c>
      <c r="G273" s="286">
        <f t="shared" si="19"/>
        <v>4072.1010199999996</v>
      </c>
      <c r="H273" s="286">
        <f>H262+H267+H268+H271+H272</f>
        <v>37176.898980000005</v>
      </c>
      <c r="I273" s="286">
        <f t="shared" si="19"/>
        <v>6935.3666899999998</v>
      </c>
      <c r="J273" s="127"/>
    </row>
    <row r="274" spans="1:10" ht="14.1" customHeight="1" x14ac:dyDescent="0.25">
      <c r="A274" s="215"/>
      <c r="B274" s="69"/>
      <c r="C274" s="156" t="s">
        <v>105</v>
      </c>
      <c r="D274" s="288"/>
      <c r="E274" s="288"/>
      <c r="F274" s="3"/>
      <c r="G274" s="3"/>
      <c r="H274" s="4"/>
      <c r="I274" s="4"/>
      <c r="J274" s="127"/>
    </row>
    <row r="275" spans="1:10" ht="14.1" customHeight="1" x14ac:dyDescent="0.25">
      <c r="A275" s="215"/>
      <c r="B275" s="69"/>
      <c r="C275" s="101" t="s">
        <v>130</v>
      </c>
      <c r="D275" s="288"/>
      <c r="E275" s="288"/>
      <c r="F275" s="3"/>
      <c r="G275" s="3"/>
      <c r="H275" s="6"/>
      <c r="I275" s="4"/>
      <c r="J275" s="127"/>
    </row>
    <row r="276" spans="1:10" ht="14.1" customHeight="1" x14ac:dyDescent="0.25">
      <c r="A276" s="215"/>
      <c r="B276" s="69"/>
      <c r="C276" s="156" t="s">
        <v>139</v>
      </c>
      <c r="D276" s="288"/>
      <c r="E276" s="288"/>
      <c r="F276" s="3"/>
      <c r="G276" s="3"/>
      <c r="H276" s="4"/>
      <c r="I276" s="6"/>
      <c r="J276" s="127"/>
    </row>
    <row r="277" spans="1:10" ht="15.75" customHeight="1" x14ac:dyDescent="0.25">
      <c r="A277" s="215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25">
      <c r="A278" s="215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25">
      <c r="A279" s="215"/>
      <c r="C279" s="145" t="s">
        <v>112</v>
      </c>
      <c r="D279" s="152"/>
    </row>
    <row r="280" spans="1:10" ht="14.1" customHeight="1" x14ac:dyDescent="0.25">
      <c r="A280" s="215"/>
      <c r="B280" s="120"/>
      <c r="C280" s="240"/>
      <c r="D280" s="16"/>
      <c r="E280" s="240"/>
      <c r="F280" s="240"/>
      <c r="G280" s="240"/>
      <c r="H280" s="240"/>
      <c r="I280" s="240"/>
      <c r="J280" s="58"/>
    </row>
    <row r="281" spans="1:10" ht="14.1" customHeight="1" x14ac:dyDescent="0.25">
      <c r="A281" s="215"/>
      <c r="B281" s="69"/>
      <c r="C281" s="220" t="s">
        <v>106</v>
      </c>
      <c r="D281" s="152"/>
      <c r="E281" s="145"/>
      <c r="G281" s="145"/>
      <c r="H281" s="145"/>
      <c r="I281" s="145"/>
      <c r="J281" s="127"/>
    </row>
    <row r="282" spans="1:10" ht="14.1" customHeight="1" x14ac:dyDescent="0.25">
      <c r="A282" s="215"/>
      <c r="B282" s="69"/>
      <c r="C282" s="145"/>
      <c r="D282" s="152"/>
      <c r="E282" s="145"/>
      <c r="G282" s="145"/>
      <c r="H282" s="145"/>
      <c r="I282" s="145"/>
      <c r="J282" s="127"/>
    </row>
    <row r="283" spans="1:10" ht="14.1" customHeight="1" x14ac:dyDescent="0.25">
      <c r="A283" s="215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" customHeight="1" x14ac:dyDescent="0.25">
      <c r="A284" s="215"/>
      <c r="B284" s="69"/>
      <c r="C284" s="259" t="s">
        <v>6</v>
      </c>
      <c r="D284" s="270">
        <v>2681</v>
      </c>
      <c r="E284" s="145"/>
      <c r="F284" s="145"/>
      <c r="G284" s="145"/>
      <c r="H284" s="145"/>
      <c r="I284" s="145"/>
      <c r="J284" s="127"/>
    </row>
    <row r="285" spans="1:10" ht="14.1" customHeight="1" x14ac:dyDescent="0.25">
      <c r="A285" s="215"/>
      <c r="B285" s="69"/>
      <c r="C285" s="249" t="s">
        <v>90</v>
      </c>
      <c r="D285" s="46">
        <v>1753</v>
      </c>
      <c r="E285" s="145"/>
      <c r="G285" s="145"/>
      <c r="H285" s="145"/>
      <c r="I285" s="145"/>
      <c r="J285" s="127"/>
    </row>
    <row r="286" spans="1:10" ht="14.1" customHeight="1" x14ac:dyDescent="0.25">
      <c r="A286" s="215"/>
      <c r="B286" s="69"/>
      <c r="C286" s="249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" customHeight="1" x14ac:dyDescent="0.25">
      <c r="A287" s="215"/>
      <c r="B287" s="69"/>
      <c r="C287" s="57" t="s">
        <v>49</v>
      </c>
      <c r="D287" s="35">
        <v>4557</v>
      </c>
      <c r="E287" s="145"/>
      <c r="F287" s="145"/>
      <c r="G287" s="145"/>
      <c r="H287" s="145"/>
      <c r="I287" s="145"/>
      <c r="J287" s="127"/>
    </row>
    <row r="288" spans="1:10" ht="14.1" customHeight="1" x14ac:dyDescent="0.25">
      <c r="A288" s="215"/>
      <c r="B288" s="69"/>
      <c r="C288" s="300" t="s">
        <v>120</v>
      </c>
      <c r="D288" s="300"/>
      <c r="E288" s="300"/>
      <c r="F288" s="300"/>
      <c r="G288" s="208"/>
      <c r="H288" s="208"/>
      <c r="I288" s="145"/>
      <c r="J288" s="127"/>
    </row>
    <row r="289" spans="1:10" ht="14.1" customHeight="1" x14ac:dyDescent="0.25">
      <c r="A289" s="215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" customHeight="1" x14ac:dyDescent="0.25">
      <c r="A290" s="215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" customHeight="1" x14ac:dyDescent="0.25">
      <c r="A291" s="215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25">
      <c r="A292" s="215"/>
      <c r="B292" s="232"/>
      <c r="C292" s="235" t="s">
        <v>15</v>
      </c>
      <c r="D292" s="235"/>
      <c r="E292" s="235"/>
      <c r="F292" s="235"/>
      <c r="G292" s="235"/>
      <c r="H292" s="235"/>
      <c r="I292" s="235"/>
      <c r="J292" s="239"/>
    </row>
    <row r="293" spans="1:10" ht="78" customHeight="1" x14ac:dyDescent="0.25">
      <c r="A293" s="215"/>
      <c r="B293" s="193"/>
      <c r="C293" s="19" t="s">
        <v>107</v>
      </c>
      <c r="D293" s="21" t="s">
        <v>108</v>
      </c>
      <c r="E293" s="19" t="s">
        <v>149</v>
      </c>
      <c r="F293" s="19" t="s">
        <v>150</v>
      </c>
      <c r="G293" s="23" t="s">
        <v>151</v>
      </c>
      <c r="H293" s="19" t="s">
        <v>152</v>
      </c>
      <c r="I293" s="225"/>
      <c r="J293" s="13"/>
    </row>
    <row r="294" spans="1:10" ht="14.1" customHeight="1" x14ac:dyDescent="0.25">
      <c r="A294" s="215"/>
      <c r="B294" s="69"/>
      <c r="C294" s="265" t="s">
        <v>109</v>
      </c>
      <c r="D294" s="197">
        <v>894</v>
      </c>
      <c r="E294" s="25">
        <f>SUM(E295:E296)</f>
        <v>0</v>
      </c>
      <c r="F294" s="25">
        <f>SUM(F295:F296)</f>
        <v>1023.20588</v>
      </c>
      <c r="G294" s="82">
        <f>D294-F294</f>
        <v>-129.20587999999998</v>
      </c>
      <c r="H294" s="25">
        <f>SUM(H295:H296)</f>
        <v>988.40122999999994</v>
      </c>
      <c r="I294" s="26"/>
      <c r="J294" s="127"/>
    </row>
    <row r="295" spans="1:10" ht="14.1" customHeight="1" x14ac:dyDescent="0.25">
      <c r="A295" s="215"/>
      <c r="B295" s="69"/>
      <c r="C295" s="28" t="s">
        <v>8</v>
      </c>
      <c r="E295" s="198">
        <f>0</f>
        <v>0</v>
      </c>
      <c r="F295" s="198">
        <f>778.94708</f>
        <v>778.94708000000003</v>
      </c>
      <c r="G295" s="199"/>
      <c r="H295" s="198">
        <f>753.71223</f>
        <v>753.71222999999998</v>
      </c>
      <c r="I295" s="145"/>
      <c r="J295" s="127"/>
    </row>
    <row r="296" spans="1:10" ht="14.1" customHeight="1" x14ac:dyDescent="0.25">
      <c r="A296" s="215"/>
      <c r="B296" s="69"/>
      <c r="C296" s="28" t="s">
        <v>11</v>
      </c>
      <c r="D296" s="200"/>
      <c r="E296" s="202">
        <f>0</f>
        <v>0</v>
      </c>
      <c r="F296" s="202">
        <f>244.2588</f>
        <v>244.25880000000001</v>
      </c>
      <c r="G296" s="203"/>
      <c r="H296" s="202">
        <f>234.689</f>
        <v>234.68899999999999</v>
      </c>
      <c r="I296" s="145"/>
      <c r="J296" s="127"/>
    </row>
    <row r="297" spans="1:10" ht="14.1" customHeight="1" x14ac:dyDescent="0.25">
      <c r="A297" s="215"/>
      <c r="B297" s="69"/>
      <c r="C297" s="265" t="s">
        <v>110</v>
      </c>
      <c r="D297" s="9">
        <v>894</v>
      </c>
      <c r="E297" s="25">
        <f>SUM(E298:E299)</f>
        <v>0</v>
      </c>
      <c r="F297" s="25">
        <f>SUM(F298:F299)</f>
        <v>985.86824999999999</v>
      </c>
      <c r="G297" s="82">
        <f>D297-F297</f>
        <v>-91.868249999999989</v>
      </c>
      <c r="H297" s="25">
        <f>SUM(H298:H299)</f>
        <v>1222.0429799999999</v>
      </c>
      <c r="I297" s="26"/>
      <c r="J297" s="127"/>
    </row>
    <row r="298" spans="1:10" ht="14.1" customHeight="1" x14ac:dyDescent="0.25">
      <c r="A298" s="215"/>
      <c r="B298" s="69"/>
      <c r="C298" s="28" t="s">
        <v>8</v>
      </c>
      <c r="D298" s="41"/>
      <c r="E298" s="29">
        <f>0</f>
        <v>0</v>
      </c>
      <c r="F298" s="29">
        <f>763.93023</f>
        <v>763.93023000000005</v>
      </c>
      <c r="G298" s="94"/>
      <c r="H298" s="29">
        <f>982.54229</f>
        <v>982.54228999999998</v>
      </c>
      <c r="I298" s="145"/>
      <c r="J298" s="127"/>
    </row>
    <row r="299" spans="1:10" ht="14.1" customHeight="1" x14ac:dyDescent="0.25">
      <c r="A299" s="215"/>
      <c r="B299" s="69"/>
      <c r="C299" s="28" t="s">
        <v>11</v>
      </c>
      <c r="D299" s="222"/>
      <c r="E299" s="29">
        <f>0</f>
        <v>0</v>
      </c>
      <c r="F299" s="29">
        <f>221.93802</f>
        <v>221.93801999999999</v>
      </c>
      <c r="G299" s="105"/>
      <c r="H299" s="29">
        <f>239.50069</f>
        <v>239.50068999999999</v>
      </c>
      <c r="I299" s="145"/>
      <c r="J299" s="127"/>
    </row>
    <row r="300" spans="1:10" ht="14.1" customHeight="1" x14ac:dyDescent="0.25">
      <c r="A300" s="215"/>
      <c r="B300" s="69"/>
      <c r="C300" s="265" t="s">
        <v>111</v>
      </c>
      <c r="D300" s="9">
        <v>893</v>
      </c>
      <c r="E300" s="34">
        <f>SUM(E301:E302)</f>
        <v>44.202559999999998</v>
      </c>
      <c r="F300" s="34">
        <f>SUM(F301:F302)</f>
        <v>434.20573000000002</v>
      </c>
      <c r="G300" s="82">
        <f>D300-F300</f>
        <v>458.79426999999998</v>
      </c>
      <c r="H300" s="34">
        <f>SUM(H301:H302)</f>
        <v>635.80727999999999</v>
      </c>
      <c r="I300" s="145"/>
      <c r="J300" s="127"/>
    </row>
    <row r="301" spans="1:10" ht="14.1" customHeight="1" x14ac:dyDescent="0.25">
      <c r="A301" s="215"/>
      <c r="B301" s="69"/>
      <c r="C301" s="28" t="s">
        <v>8</v>
      </c>
      <c r="D301" s="41"/>
      <c r="E301" s="29">
        <f>30.58126</f>
        <v>30.58126</v>
      </c>
      <c r="F301" s="29">
        <f>292.53834</f>
        <v>292.53834000000001</v>
      </c>
      <c r="G301" s="94"/>
      <c r="H301" s="29">
        <f>436.17794</f>
        <v>436.17793999999998</v>
      </c>
      <c r="I301" s="145"/>
      <c r="J301" s="127"/>
    </row>
    <row r="302" spans="1:10" ht="14.1" customHeight="1" x14ac:dyDescent="0.25">
      <c r="A302" s="215"/>
      <c r="B302" s="69"/>
      <c r="C302" s="28" t="s">
        <v>11</v>
      </c>
      <c r="D302" s="222"/>
      <c r="E302" s="29">
        <f>13.6213</f>
        <v>13.6213</v>
      </c>
      <c r="F302" s="29">
        <f>141.66739</f>
        <v>141.66739000000001</v>
      </c>
      <c r="G302" s="105"/>
      <c r="H302" s="29">
        <f>199.62934</f>
        <v>199.62934000000001</v>
      </c>
      <c r="I302" s="145"/>
      <c r="J302" s="127"/>
    </row>
    <row r="303" spans="1:10" ht="14.1" customHeight="1" x14ac:dyDescent="0.25">
      <c r="A303" s="215"/>
      <c r="B303" s="69"/>
      <c r="C303" s="278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" customHeight="1" x14ac:dyDescent="0.25">
      <c r="A304" s="215"/>
      <c r="B304" s="69"/>
      <c r="C304" s="284" t="s">
        <v>86</v>
      </c>
      <c r="D304" s="38">
        <f>D294+D297+D300</f>
        <v>2681</v>
      </c>
      <c r="E304" s="39">
        <f>E294+E297+E300+E303</f>
        <v>44.202559999999998</v>
      </c>
      <c r="F304" s="39">
        <f>F294+F297+F300+F303</f>
        <v>2443.2798600000001</v>
      </c>
      <c r="G304" s="40">
        <f>D304-F304</f>
        <v>237.7201399999999</v>
      </c>
      <c r="H304" s="39">
        <f>H294+H297+H300+H303</f>
        <v>2846.2514899999996</v>
      </c>
      <c r="I304" s="26"/>
      <c r="J304" s="127"/>
    </row>
    <row r="305" spans="1:10" ht="42" customHeight="1" x14ac:dyDescent="0.25">
      <c r="A305" s="215"/>
      <c r="B305" s="69"/>
      <c r="C305" s="291" t="s">
        <v>115</v>
      </c>
      <c r="D305" s="291"/>
      <c r="E305" s="291"/>
      <c r="F305" s="291"/>
      <c r="G305" s="291"/>
      <c r="H305" s="291"/>
      <c r="I305" s="291"/>
      <c r="J305" s="292"/>
    </row>
    <row r="306" spans="1:10" ht="14.1" customHeight="1" x14ac:dyDescent="0.25">
      <c r="A306" s="215"/>
      <c r="B306" s="7"/>
      <c r="C306" s="207"/>
      <c r="D306" s="194"/>
      <c r="E306" s="207"/>
      <c r="F306" s="207"/>
      <c r="G306" s="207"/>
      <c r="H306" s="207"/>
      <c r="I306" s="207"/>
      <c r="J306" s="11"/>
    </row>
    <row r="307" spans="1:10" ht="0" hidden="1" customHeight="1" x14ac:dyDescent="0.25"/>
    <row r="308" spans="1:10" ht="0" hidden="1" customHeight="1" x14ac:dyDescent="0.25"/>
    <row r="309" spans="1:10" ht="0" hidden="1" customHeight="1" x14ac:dyDescent="0.25"/>
    <row r="310" spans="1:10" ht="0" hidden="1" customHeight="1" x14ac:dyDescent="0.25"/>
    <row r="311" spans="1:10" ht="0" hidden="1" customHeight="1" x14ac:dyDescent="0.25"/>
    <row r="312" spans="1:10" ht="0" hidden="1" customHeight="1" x14ac:dyDescent="0.25"/>
    <row r="313" spans="1:10" ht="0" hidden="1" customHeight="1" x14ac:dyDescent="0.25"/>
    <row r="314" spans="1:10" ht="0" hidden="1" customHeight="1" x14ac:dyDescent="0.25"/>
    <row r="315" spans="1:10" ht="0" hidden="1" customHeight="1" x14ac:dyDescent="0.25"/>
    <row r="316" spans="1:10" ht="0" hidden="1" customHeight="1" x14ac:dyDescent="0.25"/>
    <row r="317" spans="1:10" ht="0" hidden="1" customHeight="1" x14ac:dyDescent="0.25"/>
    <row r="318" spans="1:10" ht="0" hidden="1" customHeight="1" x14ac:dyDescent="0.25"/>
    <row r="319" spans="1:10" ht="0" hidden="1" customHeight="1" x14ac:dyDescent="0.25"/>
    <row r="320" spans="1:10" ht="0" hidden="1" customHeight="1" x14ac:dyDescent="0.25"/>
    <row r="321" ht="0" hidden="1" customHeight="1" x14ac:dyDescent="0.25"/>
    <row r="322" ht="0" hidden="1" customHeight="1" x14ac:dyDescent="0.25"/>
    <row r="323" ht="0" hidden="1" customHeight="1" x14ac:dyDescent="0.25"/>
    <row r="324" ht="0" hidden="1" customHeight="1" x14ac:dyDescent="0.25"/>
    <row r="325" ht="0" hidden="1" customHeight="1" x14ac:dyDescent="0.25"/>
    <row r="326" ht="0" hidden="1" customHeight="1" x14ac:dyDescent="0.25"/>
    <row r="327" ht="0" hidden="1" customHeight="1" x14ac:dyDescent="0.25"/>
    <row r="328" ht="0" hidden="1" customHeight="1" x14ac:dyDescent="0.25"/>
    <row r="329" ht="0" hidden="1" customHeight="1" x14ac:dyDescent="0.25"/>
    <row r="330" ht="0" hidden="1" customHeight="1" x14ac:dyDescent="0.25"/>
    <row r="331" ht="0" hidden="1" customHeight="1" x14ac:dyDescent="0.25"/>
    <row r="332" ht="0" hidden="1" customHeight="1" x14ac:dyDescent="0.25"/>
    <row r="333" ht="0" hidden="1" customHeight="1" x14ac:dyDescent="0.25"/>
    <row r="334" ht="0" hidden="1" customHeight="1" x14ac:dyDescent="0.25"/>
    <row r="335" ht="0" hidden="1" customHeight="1" x14ac:dyDescent="0.25"/>
    <row r="336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15.95" customHeight="1" x14ac:dyDescent="0.25"/>
    <row r="65491" ht="16.5" customHeight="1" x14ac:dyDescent="0.25"/>
  </sheetData>
  <mergeCells count="15">
    <mergeCell ref="C17:H17"/>
    <mergeCell ref="B2:J2"/>
    <mergeCell ref="B9:J9"/>
    <mergeCell ref="C11:D11"/>
    <mergeCell ref="E11:F11"/>
    <mergeCell ref="G11:H11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17&amp;R28.04.2025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2025-04-28T07:05:01Z</dcterms:modified>
</cp:coreProperties>
</file>