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O:\veke\"/>
    </mc:Choice>
  </mc:AlternateContent>
  <xr:revisionPtr revIDLastSave="0" documentId="13_ncr:1_{8B9517E5-2DB2-4EA6-94F6-9D7ED9C0443C}" xr6:coauthVersionLast="47" xr6:coauthVersionMax="47" xr10:uidLastSave="{00000000-0000-0000-0000-000000000000}"/>
  <bookViews>
    <workbookView xWindow="1860" yWindow="1860" windowWidth="38700" windowHeight="15315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I27" i="1"/>
  <c r="G27" i="1"/>
  <c r="G28" i="1"/>
  <c r="G31" i="1"/>
  <c r="G29" i="1"/>
  <c r="G119" i="1"/>
  <c r="G125" i="1"/>
  <c r="G124" i="1"/>
  <c r="G123" i="1"/>
  <c r="H123" i="1" s="1"/>
  <c r="G38" i="1"/>
  <c r="G36" i="1"/>
  <c r="G35" i="1"/>
  <c r="G33" i="1"/>
  <c r="H29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D273" i="1"/>
  <c r="I272" i="1"/>
  <c r="H272" i="1"/>
  <c r="G272" i="1"/>
  <c r="F272" i="1"/>
  <c r="I271" i="1"/>
  <c r="H271" i="1"/>
  <c r="G271" i="1"/>
  <c r="F271" i="1"/>
  <c r="I270" i="1"/>
  <c r="I268" i="1" s="1"/>
  <c r="G270" i="1"/>
  <c r="F270" i="1"/>
  <c r="I269" i="1"/>
  <c r="G269" i="1"/>
  <c r="F269" i="1"/>
  <c r="F268" i="1" s="1"/>
  <c r="G268" i="1"/>
  <c r="H268" i="1" s="1"/>
  <c r="I267" i="1"/>
  <c r="G267" i="1"/>
  <c r="H267" i="1" s="1"/>
  <c r="F267" i="1"/>
  <c r="I266" i="1"/>
  <c r="G266" i="1"/>
  <c r="H266" i="1" s="1"/>
  <c r="F266" i="1"/>
  <c r="I265" i="1"/>
  <c r="G265" i="1"/>
  <c r="H265" i="1" s="1"/>
  <c r="F265" i="1"/>
  <c r="F262" i="1" s="1"/>
  <c r="I264" i="1"/>
  <c r="G264" i="1"/>
  <c r="H264" i="1" s="1"/>
  <c r="F264" i="1"/>
  <c r="I263" i="1"/>
  <c r="G263" i="1"/>
  <c r="H263" i="1" s="1"/>
  <c r="F263" i="1"/>
  <c r="I262" i="1"/>
  <c r="I273" i="1" s="1"/>
  <c r="G262" i="1"/>
  <c r="G273" i="1" s="1"/>
  <c r="E262" i="1"/>
  <c r="E273" i="1" s="1"/>
  <c r="D262" i="1"/>
  <c r="H254" i="1"/>
  <c r="F254" i="1"/>
  <c r="D251" i="1"/>
  <c r="D250" i="1"/>
  <c r="H241" i="1"/>
  <c r="F241" i="1"/>
  <c r="D241" i="1"/>
  <c r="G241" i="1" s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G237" i="1"/>
  <c r="F237" i="1"/>
  <c r="E237" i="1"/>
  <c r="E241" i="1" s="1"/>
  <c r="D230" i="1"/>
  <c r="D219" i="1"/>
  <c r="H218" i="1"/>
  <c r="F218" i="1"/>
  <c r="G218" i="1" s="1"/>
  <c r="E218" i="1"/>
  <c r="H217" i="1"/>
  <c r="F217" i="1"/>
  <c r="F215" i="1" s="1"/>
  <c r="E217" i="1"/>
  <c r="H216" i="1"/>
  <c r="F216" i="1"/>
  <c r="E216" i="1"/>
  <c r="H215" i="1"/>
  <c r="H219" i="1" s="1"/>
  <c r="E215" i="1"/>
  <c r="E219" i="1" s="1"/>
  <c r="D206" i="1"/>
  <c r="H205" i="1"/>
  <c r="F205" i="1"/>
  <c r="G205" i="1" s="1"/>
  <c r="E205" i="1"/>
  <c r="H204" i="1"/>
  <c r="F204" i="1"/>
  <c r="E204" i="1"/>
  <c r="E202" i="1" s="1"/>
  <c r="E206" i="1" s="1"/>
  <c r="H203" i="1"/>
  <c r="F203" i="1"/>
  <c r="F202" i="1" s="1"/>
  <c r="E203" i="1"/>
  <c r="H202" i="1"/>
  <c r="H206" i="1" s="1"/>
  <c r="I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F189" i="1"/>
  <c r="F192" i="1" s="1"/>
  <c r="D169" i="1"/>
  <c r="H168" i="1"/>
  <c r="G168" i="1"/>
  <c r="F168" i="1"/>
  <c r="E168" i="1"/>
  <c r="H167" i="1"/>
  <c r="G167" i="1"/>
  <c r="F167" i="1"/>
  <c r="E167" i="1"/>
  <c r="H166" i="1"/>
  <c r="F166" i="1"/>
  <c r="F163" i="1" s="1"/>
  <c r="E166" i="1"/>
  <c r="H165" i="1"/>
  <c r="F165" i="1"/>
  <c r="E165" i="1"/>
  <c r="H164" i="1"/>
  <c r="F164" i="1"/>
  <c r="E164" i="1"/>
  <c r="E163" i="1" s="1"/>
  <c r="H163" i="1"/>
  <c r="H162" i="1"/>
  <c r="G162" i="1"/>
  <c r="F162" i="1"/>
  <c r="E162" i="1"/>
  <c r="H161" i="1"/>
  <c r="H169" i="1" s="1"/>
  <c r="F161" i="1"/>
  <c r="E161" i="1"/>
  <c r="E169" i="1" s="1"/>
  <c r="H160" i="1"/>
  <c r="G160" i="1"/>
  <c r="F160" i="1"/>
  <c r="E160" i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I126" i="1" s="1"/>
  <c r="G127" i="1"/>
  <c r="H127" i="1" s="1"/>
  <c r="H126" i="1" s="1"/>
  <c r="F127" i="1"/>
  <c r="F126" i="1"/>
  <c r="E126" i="1"/>
  <c r="D126" i="1"/>
  <c r="I125" i="1"/>
  <c r="H125" i="1"/>
  <c r="F125" i="1"/>
  <c r="I124" i="1"/>
  <c r="H124" i="1"/>
  <c r="F124" i="1"/>
  <c r="I123" i="1"/>
  <c r="I121" i="1" s="1"/>
  <c r="I120" i="1" s="1"/>
  <c r="F123" i="1"/>
  <c r="I122" i="1"/>
  <c r="H122" i="1"/>
  <c r="G122" i="1"/>
  <c r="G121" i="1" s="1"/>
  <c r="F122" i="1"/>
  <c r="F121" i="1"/>
  <c r="E121" i="1"/>
  <c r="E120" i="1" s="1"/>
  <c r="D121" i="1"/>
  <c r="D120" i="1" s="1"/>
  <c r="D137" i="1" s="1"/>
  <c r="F120" i="1"/>
  <c r="I119" i="1"/>
  <c r="H119" i="1"/>
  <c r="F119" i="1"/>
  <c r="I118" i="1"/>
  <c r="H118" i="1"/>
  <c r="G118" i="1"/>
  <c r="F118" i="1"/>
  <c r="I117" i="1"/>
  <c r="H117" i="1"/>
  <c r="G117" i="1"/>
  <c r="F117" i="1"/>
  <c r="I116" i="1"/>
  <c r="I115" i="1" s="1"/>
  <c r="I137" i="1" s="1"/>
  <c r="H116" i="1"/>
  <c r="G116" i="1"/>
  <c r="F116" i="1"/>
  <c r="F115" i="1" s="1"/>
  <c r="F137" i="1" s="1"/>
  <c r="H115" i="1"/>
  <c r="G115" i="1"/>
  <c r="E115" i="1"/>
  <c r="E137" i="1" s="1"/>
  <c r="D115" i="1"/>
  <c r="C113" i="1"/>
  <c r="D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I83" i="1" s="1"/>
  <c r="I82" i="1" s="1"/>
  <c r="H84" i="1"/>
  <c r="G84" i="1"/>
  <c r="F84" i="1"/>
  <c r="F83" i="1" s="1"/>
  <c r="F82" i="1" s="1"/>
  <c r="H83" i="1"/>
  <c r="G83" i="1"/>
  <c r="E83" i="1"/>
  <c r="E82" i="1" s="1"/>
  <c r="D83" i="1"/>
  <c r="H82" i="1"/>
  <c r="G82" i="1"/>
  <c r="D82" i="1"/>
  <c r="I81" i="1"/>
  <c r="H81" i="1"/>
  <c r="G81" i="1"/>
  <c r="F81" i="1"/>
  <c r="F79" i="1" s="1"/>
  <c r="F94" i="1" s="1"/>
  <c r="I80" i="1"/>
  <c r="H80" i="1"/>
  <c r="H79" i="1" s="1"/>
  <c r="H94" i="1" s="1"/>
  <c r="G80" i="1"/>
  <c r="G79" i="1" s="1"/>
  <c r="G94" i="1" s="1"/>
  <c r="F80" i="1"/>
  <c r="I79" i="1"/>
  <c r="E79" i="1"/>
  <c r="D79" i="1"/>
  <c r="C76" i="1"/>
  <c r="H72" i="1"/>
  <c r="F72" i="1"/>
  <c r="D72" i="1"/>
  <c r="H58" i="1"/>
  <c r="H57" i="1"/>
  <c r="I52" i="1"/>
  <c r="I31" i="1" s="1"/>
  <c r="G52" i="1"/>
  <c r="H52" i="1" s="1"/>
  <c r="F52" i="1"/>
  <c r="F31" i="1" s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F38" i="1"/>
  <c r="I37" i="1"/>
  <c r="G37" i="1"/>
  <c r="H37" i="1" s="1"/>
  <c r="F37" i="1"/>
  <c r="I36" i="1"/>
  <c r="H36" i="1"/>
  <c r="F36" i="1"/>
  <c r="I35" i="1"/>
  <c r="I33" i="1" s="1"/>
  <c r="H35" i="1"/>
  <c r="F35" i="1"/>
  <c r="I34" i="1"/>
  <c r="G34" i="1"/>
  <c r="H34" i="1" s="1"/>
  <c r="F34" i="1"/>
  <c r="F33" i="1" s="1"/>
  <c r="E33" i="1"/>
  <c r="D33" i="1"/>
  <c r="D25" i="1" s="1"/>
  <c r="I32" i="1"/>
  <c r="H32" i="1"/>
  <c r="G32" i="1"/>
  <c r="F32" i="1"/>
  <c r="I30" i="1"/>
  <c r="H30" i="1"/>
  <c r="F30" i="1"/>
  <c r="I29" i="1"/>
  <c r="F29" i="1"/>
  <c r="I28" i="1"/>
  <c r="H28" i="1"/>
  <c r="F28" i="1"/>
  <c r="F27" i="1"/>
  <c r="E26" i="1"/>
  <c r="E25" i="1" s="1"/>
  <c r="D26" i="1"/>
  <c r="I24" i="1"/>
  <c r="I22" i="1" s="1"/>
  <c r="H24" i="1"/>
  <c r="G24" i="1"/>
  <c r="F24" i="1"/>
  <c r="I23" i="1"/>
  <c r="H23" i="1"/>
  <c r="H22" i="1" s="1"/>
  <c r="G23" i="1"/>
  <c r="G22" i="1" s="1"/>
  <c r="F23" i="1"/>
  <c r="F22" i="1"/>
  <c r="E22" i="1"/>
  <c r="E42" i="1" s="1"/>
  <c r="D22" i="1"/>
  <c r="D42" i="1" s="1"/>
  <c r="H16" i="1"/>
  <c r="F16" i="1"/>
  <c r="D16" i="1"/>
  <c r="H121" i="1" l="1"/>
  <c r="I26" i="1"/>
  <c r="I25" i="1" s="1"/>
  <c r="I42" i="1" s="1"/>
  <c r="F26" i="1"/>
  <c r="F25" i="1" s="1"/>
  <c r="F42" i="1" s="1"/>
  <c r="H33" i="1"/>
  <c r="H31" i="1"/>
  <c r="H27" i="1"/>
  <c r="E94" i="1"/>
  <c r="H262" i="1"/>
  <c r="H273" i="1" s="1"/>
  <c r="F304" i="1"/>
  <c r="G304" i="1" s="1"/>
  <c r="G294" i="1"/>
  <c r="I94" i="1"/>
  <c r="H192" i="1"/>
  <c r="G120" i="1"/>
  <c r="G137" i="1" s="1"/>
  <c r="G163" i="1"/>
  <c r="F169" i="1"/>
  <c r="G169" i="1" s="1"/>
  <c r="G215" i="1"/>
  <c r="F219" i="1"/>
  <c r="G219" i="1" s="1"/>
  <c r="F273" i="1"/>
  <c r="H120" i="1"/>
  <c r="H137" i="1" s="1"/>
  <c r="G202" i="1"/>
  <c r="F206" i="1"/>
  <c r="G206" i="1"/>
  <c r="H304" i="1"/>
  <c r="G126" i="1"/>
  <c r="H189" i="1"/>
  <c r="G323" i="1"/>
  <c r="G324" i="1" s="1"/>
  <c r="G26" i="1" l="1"/>
  <c r="G25" i="1" s="1"/>
  <c r="G42" i="1" s="1"/>
  <c r="H26" i="1"/>
  <c r="H25" i="1" s="1"/>
  <c r="H42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<sst xmlns="http://schemas.openxmlformats.org/spreadsheetml/2006/main" count="393" uniqueCount="167">
  <si>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</si>
  <si>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</si>
  <si>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</si>
  <si>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</si>
  <si>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</si>
  <si>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</si>
  <si>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</si>
  <si>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</si>
  <si>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</si>
  <si>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</si>
  <si>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</si>
  <si>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</si>
  <si>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</si>
  <si>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</si>
  <si>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</si>
  <si>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</si>
  <si>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</si>
  <si>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</si>
  <si>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</si>
  <si>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</si>
  <si>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</si>
  <si>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</si>
  <si>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</si>
  <si>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</si>
  <si>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</si>
  <si>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</si>
  <si>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</si>
  <si>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</si>
  <si>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</si>
  <si>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</si>
  <si>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</si>
  <si>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</si>
  <si>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</si>
  <si>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</si>
  <si>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</si>
  <si>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</si>
  <si>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</si>
  <si>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</si>
  <si>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</si>
  <si>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</si>
  <si>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</si>
  <si>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</si>
  <si>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</si>
  <si>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</si>
  <si>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</si>
  <si>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</si>
  <si>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</si>
  <si>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</si>
  <si>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</si>
  <si>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</si>
  <si>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</si>
  <si>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</si>
  <si>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</si>
  <si>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</si>
  <si>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</si>
  <si>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</si>
  <si>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</si>
  <si>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</si>
  <si>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</si>
  <si>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</si>
  <si>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</si>
  <si>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</si>
  <si>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</si>
  <si>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</si>
  <si>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</si>
  <si>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</si>
  <si>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</si>
  <si>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</si>
  <si>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</si>
  <si>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</si>
  <si>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</si>
  <si>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</si>
  <si>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</si>
  <si>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</si>
  <si>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</si>
  <si>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</si>
  <si>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</si>
  <si>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</si>
  <si>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</si>
  <si>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</si>
  <si>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</si>
  <si>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</si>
  <si>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</si>
  <si>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</si>
  <si>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</si>
  <si>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</si>
  <si>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</si>
  <si>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</si>
  <si>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</si>
  <si>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</si>
  <si>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</si>
  <si>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</si>
  <si>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</si>
  <si>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</si>
  <si>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</si>
  <si>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</si>
  <si>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</si>
  <si>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</si>
  <si>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</si>
  <si>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</si>
  <si>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</si>
  <si>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</si>
  <si>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</si>
  <si>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</si>
  <si>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</si>
  <si>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</si>
  <si>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</si>
  <si>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</si>
  <si>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</si>
  <si>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</si>
  <si>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</si>
  <si>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</si>
  <si>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</si>
  <si>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</si>
  <si>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</si>
  <si>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</si>
  <si>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</si>
  <si>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</si>
  <si>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</si>
  <si>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</si>
  <si>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</si>
  <si>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</si>
  <si>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</si>
  <si>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</si>
  <si>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</si>
  <si>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</si>
  <si>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</si>
  <si>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</si>
  <si>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</si>
  <si>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</si>
  <si>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</si>
  <si>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</si>
  <si>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</si>
  <si>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</si>
  <si>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</si>
  <si>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</si>
  <si>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</si>
  <si>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</si>
  <si>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</si>
  <si>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</si>
  <si>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</si>
  <si>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</si>
  <si>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</si>
  <si>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</si>
  <si>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</si>
  <si>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</si>
  <si>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</si>
  <si>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</si>
  <si>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</si>
  <si>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</si>
  <si>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</si>
  <si>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</si>
  <si>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</si>
  <si>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</si>
  <si>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</si>
  <si>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</si>
  <si>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</si>
  <si>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</si>
  <si>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</si>
  <si>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51 tonn, men det legges til grunn at hele avsetningen tas</t>
  </si>
  <si>
    <t>4 Registrert rekreasjonsfiske utgjør 382 tonn, men det legges til grunn at hele avsetningen tas</t>
  </si>
  <si>
    <t>3 Registrert rekreasjonsfiske utgjør 741 tonn, men det legges til grunn at hele avsetningen tas</t>
  </si>
  <si>
    <t>FANGST UKE 39</t>
  </si>
  <si>
    <t>FANGST T.O.M UKE 39</t>
  </si>
  <si>
    <t>RESTKVOTER UKE 39</t>
  </si>
  <si>
    <t>FANGST T.O.M UKE 39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</si>
  <si>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3 041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</si>
</sst>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80" zoomScale="145" zoomScaleNormal="145" zoomScaleSheetLayoutView="100" zoomScalePageLayoutView="85" workbookViewId="0">
      <selection activeCell="G288" sqref="G288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27" t="s">
        <v>120</v>
      </c>
      <c r="C2" s="328"/>
      <c r="D2" s="328"/>
      <c r="E2" s="328"/>
      <c r="F2" s="328"/>
      <c r="G2" s="328"/>
      <c r="H2" s="328"/>
      <c r="I2" s="328"/>
      <c r="J2" s="329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17" t="s">
        <v>140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375.23354999999998</v>
      </c>
      <c r="G22" s="27">
        <f t="shared" si="0"/>
        <v>26957.326370000002</v>
      </c>
      <c r="H22" s="10">
        <f t="shared" si="0"/>
        <v>14628.673629999998</v>
      </c>
      <c r="I22" s="10">
        <f t="shared" si="0"/>
        <v>42666.47999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352.33605</f>
        <v>352.33605</v>
      </c>
      <c r="G23" s="22">
        <f>26537.05322</f>
        <v>26537.053220000002</v>
      </c>
      <c r="H23" s="22">
        <f>E23-G23</f>
        <v>14285.946779999998</v>
      </c>
      <c r="I23" s="22">
        <f>42140.15741</f>
        <v>42140.15741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22.8975</f>
        <v>22.897500000000001</v>
      </c>
      <c r="G24" s="22">
        <f>420.27315</f>
        <v>420.27314999999999</v>
      </c>
      <c r="H24" s="22">
        <f>E24-G24</f>
        <v>342.72685000000001</v>
      </c>
      <c r="I24" s="22">
        <f>526.32258</f>
        <v>526.32258000000002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167.94191000000001</v>
      </c>
      <c r="G25" s="10">
        <f t="shared" si="1"/>
        <v>105844.16645999999</v>
      </c>
      <c r="H25" s="10">
        <f t="shared" si="1"/>
        <v>15823.83354</v>
      </c>
      <c r="I25" s="10">
        <f t="shared" si="1"/>
        <v>125397.13688999999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143.23794000000001</v>
      </c>
      <c r="G26" s="129">
        <f>G27+G28+G29+G30+G31</f>
        <v>84940.601249999992</v>
      </c>
      <c r="H26" s="129">
        <f t="shared" ref="H26:I26" si="2">H27+H28+H29+H30+H31</f>
        <v>9952.3987499999985</v>
      </c>
      <c r="I26" s="129">
        <f t="shared" si="2"/>
        <v>102120.50203999999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42.78374 - F53</f>
        <v>18.783740000000002</v>
      </c>
      <c r="G27" s="123">
        <f>23213.70791 - G53</f>
        <v>22714.707910000001</v>
      </c>
      <c r="H27" s="123">
        <f t="shared" ref="H27:H39" si="3">E27-G27</f>
        <v>2438.292089999999</v>
      </c>
      <c r="I27" s="123">
        <f>26541.23843 - I53</f>
        <v>25843.238430000001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50.04776 - F54</f>
        <v>23.047759999999997</v>
      </c>
      <c r="G28" s="123">
        <f>23416.50066 - G54</f>
        <v>22562.500660000002</v>
      </c>
      <c r="H28" s="123">
        <f t="shared" si="3"/>
        <v>1431.4993399999985</v>
      </c>
      <c r="I28" s="123">
        <f>28828.50154 - I54</f>
        <v>27805.501540000001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44.7368 - F55</f>
        <v>8.7368000000000023</v>
      </c>
      <c r="G29" s="123">
        <f>22246.99642 - G55</f>
        <v>21173.996419999999</v>
      </c>
      <c r="H29" s="123">
        <f t="shared" si="3"/>
        <v>696.00358000000051</v>
      </c>
      <c r="I29" s="123">
        <f>26813.21544 - I55</f>
        <v>25658.21544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5.66964 - F56</f>
        <v>0.66964000000000024</v>
      </c>
      <c r="G30" s="123">
        <f>16063.39626 - G56</f>
        <v>15422.39626</v>
      </c>
      <c r="H30" s="123">
        <f t="shared" si="3"/>
        <v>222.60374000000047</v>
      </c>
      <c r="I30" s="123">
        <f>19937.54663 - I56</f>
        <v>18962.546630000001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92</v>
      </c>
      <c r="G31" s="123">
        <f>G52</f>
        <v>3067</v>
      </c>
      <c r="H31" s="123">
        <f>E31-G31</f>
        <v>5164</v>
      </c>
      <c r="I31" s="123">
        <f>I52</f>
        <v>3851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13679</v>
      </c>
      <c r="F32" s="129">
        <f>0</f>
        <v>0</v>
      </c>
      <c r="G32" s="129">
        <f>9416.59074</f>
        <v>9416.5907399999996</v>
      </c>
      <c r="H32" s="129">
        <f t="shared" si="3"/>
        <v>4262.4092600000004</v>
      </c>
      <c r="I32" s="129">
        <f>11154.51594</f>
        <v>11154.515939999999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24.703969999999998</v>
      </c>
      <c r="G33" s="129">
        <f>G34+G35</f>
        <v>11486.974469999999</v>
      </c>
      <c r="H33" s="129">
        <f t="shared" si="3"/>
        <v>1609.0255300000008</v>
      </c>
      <c r="I33" s="129">
        <f>I34+I35</f>
        <v>12122.118909999999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12136</v>
      </c>
      <c r="F34" s="123">
        <f>34.70397 - F57 - F58</f>
        <v>-60.296030000000002</v>
      </c>
      <c r="G34" s="129">
        <f>13588.97447 - G57 - G58</f>
        <v>11020.974469999999</v>
      </c>
      <c r="H34" s="123">
        <f t="shared" si="3"/>
        <v>1115.0255300000008</v>
      </c>
      <c r="I34" s="123">
        <f>14945.11891 - I57 - I58</f>
        <v>11662.118909999999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85</v>
      </c>
      <c r="G35" s="67">
        <f>G57</f>
        <v>466</v>
      </c>
      <c r="H35" s="67">
        <f t="shared" si="3"/>
        <v>494</v>
      </c>
      <c r="I35" s="67">
        <f>I57</f>
        <v>460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3</f>
        <v>3</v>
      </c>
      <c r="G37" s="95">
        <f>582.79299</f>
        <v>582.79299000000003</v>
      </c>
      <c r="H37" s="95">
        <f t="shared" si="3"/>
        <v>272.20700999999997</v>
      </c>
      <c r="I37" s="95">
        <f>483.17923</f>
        <v>483.17923000000002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10</v>
      </c>
      <c r="G38" s="95">
        <f>G58</f>
        <v>2102</v>
      </c>
      <c r="H38" s="95">
        <f t="shared" si="3"/>
        <v>898</v>
      </c>
      <c r="I38" s="95">
        <f>I58</f>
        <v>2823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0.21152</f>
        <v>0.21152000000000001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0.012</f>
        <v>1.2E-2</v>
      </c>
      <c r="G40" s="95">
        <f>384.04704</f>
        <v>384.04703999999998</v>
      </c>
      <c r="H40" s="95">
        <f>E40-G40</f>
        <v>65.952960000000019</v>
      </c>
      <c r="I40" s="95">
        <f>340.22312</f>
        <v>340.22311999999999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0</f>
        <v>0</v>
      </c>
      <c r="G41" s="136">
        <f>101.50363</f>
        <v>101.50363</v>
      </c>
      <c r="H41" s="136">
        <f t="shared" ref="H41" si="4">E41-G41</f>
        <v>-101.50363</v>
      </c>
      <c r="I41" s="136">
        <f>85.52126</f>
        <v>85.521259999999998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556.39897999999982</v>
      </c>
      <c r="G42" s="73">
        <f t="shared" si="5"/>
        <v>143252.09289</v>
      </c>
      <c r="H42" s="73">
        <f t="shared" si="5"/>
        <v>32306.907109999996</v>
      </c>
      <c r="I42" s="73">
        <f t="shared" si="5"/>
        <v>179143.90169000003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0" t="s">
        <v>158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1">
        <v>7872</v>
      </c>
      <c r="E52" s="321">
        <v>8231</v>
      </c>
      <c r="F52" s="10">
        <f>F56+F55+F54+F53</f>
        <v>92</v>
      </c>
      <c r="G52" s="10">
        <f>G56+G55+G54+G53</f>
        <v>3067</v>
      </c>
      <c r="H52" s="321">
        <f>E52-G52</f>
        <v>5164</v>
      </c>
      <c r="I52" s="10">
        <f>I56+I55+I54+I53</f>
        <v>3851</v>
      </c>
      <c r="J52" s="117"/>
    </row>
    <row r="53" spans="1:10" ht="14.1" customHeight="1" x14ac:dyDescent="0.25">
      <c r="A53" s="101"/>
      <c r="B53" s="24"/>
      <c r="C53" s="60" t="s">
        <v>24</v>
      </c>
      <c r="D53" s="322"/>
      <c r="E53" s="322"/>
      <c r="F53" s="123">
        <v>24</v>
      </c>
      <c r="G53" s="123">
        <v>499</v>
      </c>
      <c r="H53" s="322"/>
      <c r="I53" s="123">
        <v>698</v>
      </c>
      <c r="J53" s="117"/>
    </row>
    <row r="54" spans="1:10" ht="14.1" customHeight="1" x14ac:dyDescent="0.25">
      <c r="A54" s="101"/>
      <c r="B54" s="24"/>
      <c r="C54" s="60" t="s">
        <v>25</v>
      </c>
      <c r="D54" s="322"/>
      <c r="E54" s="322"/>
      <c r="F54" s="123">
        <v>27</v>
      </c>
      <c r="G54" s="123">
        <v>854</v>
      </c>
      <c r="H54" s="322"/>
      <c r="I54" s="123">
        <v>1023</v>
      </c>
      <c r="J54" s="267"/>
    </row>
    <row r="55" spans="1:10" ht="14.1" customHeight="1" x14ac:dyDescent="0.25">
      <c r="A55" s="101"/>
      <c r="B55" s="24"/>
      <c r="C55" s="60" t="s">
        <v>26</v>
      </c>
      <c r="D55" s="322"/>
      <c r="E55" s="322"/>
      <c r="F55" s="123">
        <v>36</v>
      </c>
      <c r="G55" s="123">
        <v>1073</v>
      </c>
      <c r="H55" s="322"/>
      <c r="I55" s="123">
        <v>1155</v>
      </c>
      <c r="J55" s="117"/>
    </row>
    <row r="56" spans="1:10" ht="14.1" customHeight="1" x14ac:dyDescent="0.25">
      <c r="A56" s="101"/>
      <c r="B56" s="24"/>
      <c r="C56" s="84" t="s">
        <v>27</v>
      </c>
      <c r="D56" s="323"/>
      <c r="E56" s="323"/>
      <c r="F56" s="186">
        <v>5</v>
      </c>
      <c r="G56" s="186">
        <v>641</v>
      </c>
      <c r="H56" s="323"/>
      <c r="I56" s="186">
        <v>975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>
        <v>85</v>
      </c>
      <c r="G57" s="92">
        <v>466</v>
      </c>
      <c r="H57" s="92">
        <f>E57-G57</f>
        <v>494</v>
      </c>
      <c r="I57" s="92">
        <v>460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10</v>
      </c>
      <c r="G58" s="136">
        <v>2102</v>
      </c>
      <c r="H58" s="136">
        <f>E58-G58</f>
        <v>898</v>
      </c>
      <c r="I58" s="136">
        <v>2823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80.656940000000006</v>
      </c>
      <c r="G79" s="10">
        <f t="shared" si="6"/>
        <v>21061.76814</v>
      </c>
      <c r="H79" s="10">
        <f t="shared" si="6"/>
        <v>5079.2318599999999</v>
      </c>
      <c r="I79" s="10">
        <f t="shared" si="6"/>
        <v>23588.380809999999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76.60114</f>
        <v>76.601140000000001</v>
      </c>
      <c r="G80" s="22">
        <f>20521.00372</f>
        <v>20521.003720000001</v>
      </c>
      <c r="H80" s="22">
        <f>E80-G80</f>
        <v>4794.9962799999994</v>
      </c>
      <c r="I80" s="22">
        <f>22796.36406</f>
        <v>22796.36406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4.0558</f>
        <v>4.0557999999999996</v>
      </c>
      <c r="G81" s="48">
        <f>540.76442</f>
        <v>540.76441999999997</v>
      </c>
      <c r="H81" s="48">
        <f>E81-G81</f>
        <v>284.23558000000003</v>
      </c>
      <c r="I81" s="48">
        <f>792.01675</f>
        <v>792.01675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148.23372999999998</v>
      </c>
      <c r="G82" s="10">
        <f t="shared" si="7"/>
        <v>33129.475850000003</v>
      </c>
      <c r="H82" s="10">
        <f t="shared" si="7"/>
        <v>10999.524149999999</v>
      </c>
      <c r="I82" s="10">
        <f t="shared" si="7"/>
        <v>39860.879690000002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114.3402</v>
      </c>
      <c r="G83" s="129">
        <f t="shared" si="8"/>
        <v>26588.574740000004</v>
      </c>
      <c r="H83" s="129">
        <f t="shared" si="8"/>
        <v>5916.42526</v>
      </c>
      <c r="I83" s="129">
        <f t="shared" si="8"/>
        <v>32160.163080000002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29.2986</f>
        <v>29.2986</v>
      </c>
      <c r="G84" s="123">
        <f>3576.12804</f>
        <v>3576.1280400000001</v>
      </c>
      <c r="H84" s="123">
        <f t="shared" ref="H84:H91" si="9">E84-G84</f>
        <v>5427.8719600000004</v>
      </c>
      <c r="I84" s="123">
        <f>5111.04543</f>
        <v>5111.0454300000001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9075</v>
      </c>
      <c r="F85" s="123">
        <f>42.21455</f>
        <v>42.214550000000003</v>
      </c>
      <c r="G85" s="123">
        <f>7136.29587</f>
        <v>7136.2958699999999</v>
      </c>
      <c r="H85" s="123">
        <f t="shared" si="9"/>
        <v>1938.7041300000001</v>
      </c>
      <c r="I85" s="123">
        <f>10436.3773</f>
        <v>10436.3773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8649</v>
      </c>
      <c r="F86" s="123">
        <f>36.54693</f>
        <v>36.546930000000003</v>
      </c>
      <c r="G86" s="123">
        <f>8285.92941</f>
        <v>8285.9294100000006</v>
      </c>
      <c r="H86" s="123">
        <f t="shared" si="9"/>
        <v>363.07058999999936</v>
      </c>
      <c r="I86" s="123">
        <f>9794.47162</f>
        <v>9794.4716200000003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6.28012</f>
        <v>6.2801200000000001</v>
      </c>
      <c r="G87" s="123">
        <f>7590.22142</f>
        <v>7590.2214199999999</v>
      </c>
      <c r="H87" s="123">
        <f t="shared" si="9"/>
        <v>-1813.2214199999999</v>
      </c>
      <c r="I87" s="123">
        <f>6818.26873</f>
        <v>6818.2687299999998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0</f>
        <v>0</v>
      </c>
      <c r="G88" s="129">
        <f>4816.44715</f>
        <v>4816.44715</v>
      </c>
      <c r="H88" s="129">
        <f t="shared" si="9"/>
        <v>3300.55285</v>
      </c>
      <c r="I88" s="129">
        <f>5391.64545</f>
        <v>5391.64545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33.89353</f>
        <v>33.893529999999998</v>
      </c>
      <c r="G89" s="72">
        <f>1724.45396</f>
        <v>1724.4539600000001</v>
      </c>
      <c r="H89" s="72">
        <f t="shared" si="9"/>
        <v>1782.5460399999999</v>
      </c>
      <c r="I89" s="72">
        <f>2309.07116</f>
        <v>2309.07116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</f>
        <v>0</v>
      </c>
      <c r="G90" s="95">
        <f>37.10349</f>
        <v>37.103490000000001</v>
      </c>
      <c r="H90" s="95">
        <f t="shared" si="9"/>
        <v>281.89650999999998</v>
      </c>
      <c r="I90" s="95">
        <f>36.10176</f>
        <v>36.101759999999999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0.00114</f>
        <v>1.14E-3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</f>
        <v>0</v>
      </c>
      <c r="G92" s="95">
        <f>12.70886</f>
        <v>12.70886</v>
      </c>
      <c r="H92" s="136">
        <f>E92-G92</f>
        <v>37.291139999999999</v>
      </c>
      <c r="I92" s="95">
        <f>37.13847</f>
        <v>37.138469999999998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12.88736</f>
        <v>12.887359999999999</v>
      </c>
      <c r="H93" s="136">
        <f t="shared" ref="H93" si="10">E93-G93</f>
        <v>-12.887359999999999</v>
      </c>
      <c r="I93" s="136">
        <f>16.09444</f>
        <v>16.094439999999999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228.89180999999999</v>
      </c>
      <c r="G94" s="73">
        <f t="shared" si="12"/>
        <v>54553.943700000003</v>
      </c>
      <c r="H94" s="73">
        <f t="shared" si="12"/>
        <v>16385.0563</v>
      </c>
      <c r="I94" s="73">
        <f t="shared" si="12"/>
        <v>63838.595170000001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1036.82556</v>
      </c>
      <c r="G115" s="10">
        <f t="shared" si="13"/>
        <v>41158.373780000002</v>
      </c>
      <c r="H115" s="10">
        <f t="shared" si="13"/>
        <v>29856.626220000002</v>
      </c>
      <c r="I115" s="10">
        <f t="shared" si="13"/>
        <v>47600.352209999997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1000.40256</f>
        <v>1000.40256</v>
      </c>
      <c r="G116" s="22">
        <f>36963.83044</f>
        <v>36963.830439999998</v>
      </c>
      <c r="H116" s="22">
        <f>E116-G116</f>
        <v>19486.169560000002</v>
      </c>
      <c r="I116" s="22">
        <f>42087.22947</f>
        <v>42087.229469999998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36.423</f>
        <v>36.423000000000002</v>
      </c>
      <c r="G117" s="22">
        <f>4129.18574</f>
        <v>4129.1857399999999</v>
      </c>
      <c r="H117" s="22">
        <f>E117-G117</f>
        <v>9935.8142599999992</v>
      </c>
      <c r="I117" s="22">
        <f>5447.39559</f>
        <v>5447.3955900000001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65.72715</f>
        <v>65.727149999999995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23.1458</f>
        <v>23.145800000000001</v>
      </c>
      <c r="G119" s="92">
        <f>29851.6051+3040.5434</f>
        <v>32892.148500000003</v>
      </c>
      <c r="H119" s="92">
        <f>E119-G119</f>
        <v>18537.851499999997</v>
      </c>
      <c r="I119" s="92">
        <f>15839.6858</f>
        <v>15839.685799999999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397.33284999999995</v>
      </c>
      <c r="G120" s="91">
        <f t="shared" ref="G120" si="14">G121+G126+G129</f>
        <v>42663.408880000003</v>
      </c>
      <c r="H120" s="91">
        <f>H121+H126+H129</f>
        <v>32381.591119999997</v>
      </c>
      <c r="I120" s="91">
        <f>I121+I126+I129</f>
        <v>62858.409650000001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313.34142999999995</v>
      </c>
      <c r="G121" s="121">
        <f>G122+G123+G125+G124</f>
        <v>31447.301879999999</v>
      </c>
      <c r="H121" s="121">
        <f>H122+H123+H124+H125</f>
        <v>24911.698120000001</v>
      </c>
      <c r="I121" s="121">
        <f>I122+I123+I124+I125</f>
        <v>48304.03989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83.83037</f>
        <v>83.830370000000002</v>
      </c>
      <c r="G122" s="123">
        <f>7714.72623</f>
        <v>7714.7262300000002</v>
      </c>
      <c r="H122" s="123">
        <f>E122-G122</f>
        <v>8301.2737699999998</v>
      </c>
      <c r="I122" s="123">
        <f>9535.56056</f>
        <v>9535.5605599999999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39.55486</f>
        <v>39.554859999999998</v>
      </c>
      <c r="G123" s="123">
        <f>8953.22677-90.7467</f>
        <v>8862.4800699999996</v>
      </c>
      <c r="H123" s="123">
        <f>E123-G123</f>
        <v>5991.5199300000004</v>
      </c>
      <c r="I123" s="123">
        <f>12590.07593</f>
        <v>12590.075930000001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146.3986</f>
        <v>146.39859999999999</v>
      </c>
      <c r="G124" s="123">
        <f>8342.87596-540.5537</f>
        <v>7802.322259999999</v>
      </c>
      <c r="H124" s="123">
        <f>E124-G124</f>
        <v>5069.677740000001</v>
      </c>
      <c r="I124" s="123">
        <f>12816.36815</f>
        <v>12816.36815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43.5576</f>
        <v>43.557600000000001</v>
      </c>
      <c r="G125" s="123">
        <f>9477.01632-2409.243</f>
        <v>7067.7733200000002</v>
      </c>
      <c r="H125" s="123">
        <f>E125-G125</f>
        <v>5549.2266799999998</v>
      </c>
      <c r="I125" s="123">
        <f>13362.03525</f>
        <v>13362.035250000001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0</v>
      </c>
      <c r="G126" s="129">
        <f>SUM(G127:G128)</f>
        <v>6213.3428300000005</v>
      </c>
      <c r="H126" s="129">
        <f>H127+H128</f>
        <v>1528.6571699999995</v>
      </c>
      <c r="I126" s="129">
        <f>SUM(I127:I128)</f>
        <v>8907.6657099999993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6038.88294</f>
        <v>6038.8829400000004</v>
      </c>
      <c r="H127" s="123">
        <f t="shared" ref="H127:H135" si="15">E127-G127</f>
        <v>1203.1170599999996</v>
      </c>
      <c r="I127" s="123">
        <f>8474.90684</f>
        <v>8474.9068399999996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0</f>
        <v>0</v>
      </c>
      <c r="G128" s="123">
        <f>174.45989</f>
        <v>174.45989</v>
      </c>
      <c r="H128" s="123">
        <f t="shared" si="15"/>
        <v>325.54011000000003</v>
      </c>
      <c r="I128" s="123">
        <f>432.75887</f>
        <v>432.75887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83.99142</f>
        <v>83.991420000000005</v>
      </c>
      <c r="G129" s="72">
        <f>5002.76417</f>
        <v>5002.7641700000004</v>
      </c>
      <c r="H129" s="72">
        <f t="shared" si="15"/>
        <v>5941.2358299999996</v>
      </c>
      <c r="I129" s="72">
        <f>5646.70405</f>
        <v>5646.7040500000003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</f>
        <v>0</v>
      </c>
      <c r="G130" s="136">
        <f>17.80118</f>
        <v>17.801179999999999</v>
      </c>
      <c r="H130" s="136">
        <f t="shared" si="15"/>
        <v>128.19882000000001</v>
      </c>
      <c r="I130" s="136">
        <f>15.71255</f>
        <v>15.71255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1.001</f>
        <v>1.0009999999999999</v>
      </c>
      <c r="H131" s="95">
        <f t="shared" si="15"/>
        <v>348.99900000000002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1.80308</f>
        <v>1.80308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</f>
        <v>0</v>
      </c>
      <c r="G134" s="95">
        <f>88.2371</f>
        <v>88.237099999999998</v>
      </c>
      <c r="H134" s="136">
        <f t="shared" si="15"/>
        <v>224.7629</v>
      </c>
      <c r="I134" s="95">
        <f>48.55491</f>
        <v>48.55491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0</f>
        <v>0</v>
      </c>
      <c r="G135" s="136">
        <f>91.98029</f>
        <v>91.980289999999997</v>
      </c>
      <c r="H135" s="136">
        <f t="shared" si="15"/>
        <v>-91.980289999999997</v>
      </c>
      <c r="I135" s="136">
        <f>119.86724</f>
        <v>119.86724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1459.1072899999999</v>
      </c>
      <c r="G137" s="73">
        <f>G115+G119+G120+G130+G131+G132+G133+G134+G135</f>
        <v>118912.95073000001</v>
      </c>
      <c r="H137" s="73">
        <f>H115+H119+H120+H130+H131+H132+H133+H134+H135</f>
        <v>81386.049269999989</v>
      </c>
      <c r="I137" s="73">
        <f>I115+I119+I120+I130+I131+I132+I133+I134+I135</f>
        <v>128738.61836000001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3.29084</f>
        <v>3.2908400000000002</v>
      </c>
      <c r="F160" s="297">
        <f>955.38291</f>
        <v>955.38291000000004</v>
      </c>
      <c r="G160" s="42">
        <f>D160-F160-F161</f>
        <v>1595.7872799999998</v>
      </c>
      <c r="H160" s="297">
        <f>1002.89322</f>
        <v>1002.89322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0</f>
        <v>0</v>
      </c>
      <c r="F161" s="148">
        <f>1210.82981</f>
        <v>1210.82981</v>
      </c>
      <c r="G161" s="219"/>
      <c r="H161" s="148">
        <f>1442.36228</f>
        <v>1442.3622800000001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87.07938</f>
        <v>87.07938</v>
      </c>
      <c r="G162" s="166">
        <f>D162-F162</f>
        <v>112.92062</v>
      </c>
      <c r="H162" s="166">
        <f>104.73857</f>
        <v>104.73857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6.0351499999999998</v>
      </c>
      <c r="F163" s="175">
        <f>F164+F165+F166</f>
        <v>5409.8399600000002</v>
      </c>
      <c r="G163" s="175">
        <f>D163-F163</f>
        <v>232.16003999999975</v>
      </c>
      <c r="H163" s="175">
        <f>H164+H165+H166</f>
        <v>5948.9708300000011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1.25691</f>
        <v>1.25691</v>
      </c>
      <c r="F164" s="123">
        <f>3064.04138</f>
        <v>3064.0413800000001</v>
      </c>
      <c r="G164" s="123"/>
      <c r="H164" s="123">
        <f>3087.91166</f>
        <v>3087.9116600000002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4.77824</f>
        <v>4.7782400000000003</v>
      </c>
      <c r="F165" s="123">
        <f>1565.463</f>
        <v>1565.463</v>
      </c>
      <c r="G165" s="123"/>
      <c r="H165" s="123">
        <f>1805.25716</f>
        <v>1805.2571600000001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0</f>
        <v>0</v>
      </c>
      <c r="F166" s="186">
        <f>780.33558</f>
        <v>780.33558000000005</v>
      </c>
      <c r="G166" s="186"/>
      <c r="H166" s="186">
        <f>1055.80201</f>
        <v>1055.8020100000001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9.3259900000000009</v>
      </c>
      <c r="F169" s="188">
        <f>F160+F161+F162+F163+F167+F168</f>
        <v>7668.4851600000002</v>
      </c>
      <c r="G169" s="188">
        <f>D169-F169</f>
        <v>2006.5148399999998</v>
      </c>
      <c r="H169" s="188">
        <f>H160+H161+H162+H163+H167+H168</f>
        <v>8498.9649000000009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136.88744</f>
        <v>136.88744</v>
      </c>
      <c r="G189" s="124">
        <f>44463.46494</f>
        <v>44463.464939999998</v>
      </c>
      <c r="H189" s="124">
        <f>E189-G189</f>
        <v>-1128.464939999998</v>
      </c>
      <c r="I189" s="124">
        <f>40314.21207</f>
        <v>40314.212070000001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</f>
        <v>0</v>
      </c>
      <c r="G190" s="124">
        <f>36.55834</f>
        <v>36.558340000000001</v>
      </c>
      <c r="H190" s="124">
        <f>E190-G190</f>
        <v>63.441659999999999</v>
      </c>
      <c r="I190" s="124">
        <f>39.71582</f>
        <v>39.715820000000001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136.88744</v>
      </c>
      <c r="G192" s="190">
        <f>SUM(G189:G191)</f>
        <v>44500.023280000001</v>
      </c>
      <c r="H192" s="190">
        <f>E192-G192</f>
        <v>-1029.0232800000013</v>
      </c>
      <c r="I192" s="190">
        <f>SUM(I189:I191)</f>
        <v>40353.927889999999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9.6431799999999992</v>
      </c>
      <c r="F202" s="72">
        <f>F203+F204</f>
        <v>3615.9336600000001</v>
      </c>
      <c r="G202" s="72">
        <f>D202-F202</f>
        <v>371.06633999999985</v>
      </c>
      <c r="H202" s="72">
        <f>H203+H204</f>
        <v>4157.6819699999996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0</f>
        <v>0</v>
      </c>
      <c r="F203" s="72">
        <f>2937.62744</f>
        <v>2937.6274400000002</v>
      </c>
      <c r="G203" s="72"/>
      <c r="H203" s="72">
        <f>3607.70491</f>
        <v>3607.7049099999999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9.64318</f>
        <v>9.6431799999999992</v>
      </c>
      <c r="F204" s="124">
        <f>678.30622</f>
        <v>678.30622000000005</v>
      </c>
      <c r="G204" s="168"/>
      <c r="H204" s="124">
        <f>549.97706</f>
        <v>549.97706000000005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32.74674</f>
        <v>32.746740000000003</v>
      </c>
      <c r="F205" s="72">
        <f>4515.84151</f>
        <v>4515.8415100000002</v>
      </c>
      <c r="G205" s="72">
        <f>D205-F205</f>
        <v>97.158489999999802</v>
      </c>
      <c r="H205" s="72">
        <f>5216.69393</f>
        <v>5216.6939300000004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42.389920000000004</v>
      </c>
      <c r="F206" s="190">
        <f>SUM(F202,F205)</f>
        <v>8131.7751700000008</v>
      </c>
      <c r="G206" s="190">
        <f>D206-F206</f>
        <v>468.2248299999992</v>
      </c>
      <c r="H206" s="190">
        <f>SUM(H202,H205)</f>
        <v>9374.3758999999991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5.7610000000000001</v>
      </c>
      <c r="F215" s="72">
        <f>F216+F217</f>
        <v>5040.6065999999992</v>
      </c>
      <c r="G215" s="72">
        <f>D215-F215</f>
        <v>49.393400000000838</v>
      </c>
      <c r="H215" s="72">
        <f>H216+H217</f>
        <v>5266.0305199999993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0</f>
        <v>0</v>
      </c>
      <c r="F216" s="72">
        <f>4688.76179</f>
        <v>4688.7617899999996</v>
      </c>
      <c r="G216" s="72"/>
      <c r="H216" s="72">
        <f>4803.36601</f>
        <v>4803.3660099999997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5.761</f>
        <v>5.7610000000000001</v>
      </c>
      <c r="F217" s="124">
        <f>351.84481</f>
        <v>351.84481</v>
      </c>
      <c r="G217" s="168"/>
      <c r="H217" s="124">
        <f>462.66451</f>
        <v>462.66451000000001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31.06902</f>
        <v>31.069019999999998</v>
      </c>
      <c r="F218" s="72">
        <f>2199.64427</f>
        <v>2199.6442699999998</v>
      </c>
      <c r="G218" s="72">
        <f>D218-F218</f>
        <v>781.35573000000022</v>
      </c>
      <c r="H218" s="72">
        <f>2584.21503</f>
        <v>2584.2150299999998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36.830019999999998</v>
      </c>
      <c r="F219" s="190">
        <f>SUM(F215,F218)</f>
        <v>7240.2508699999989</v>
      </c>
      <c r="G219" s="190">
        <f>D219-F219</f>
        <v>830.74913000000106</v>
      </c>
      <c r="H219" s="190">
        <f>SUM(H215,H218)</f>
        <v>7850.2455499999996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17.53052</f>
        <v>17.530519999999999</v>
      </c>
      <c r="F237" s="124">
        <f>496.95154</f>
        <v>496.95154000000002</v>
      </c>
      <c r="G237" s="124">
        <f>D237-F237</f>
        <v>303.04845999999998</v>
      </c>
      <c r="H237" s="124">
        <f>578.05672</f>
        <v>578.05672000000004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24.28109</f>
        <v>24.281089999999999</v>
      </c>
      <c r="F238" s="124">
        <f>1167.25029</f>
        <v>1167.2502899999999</v>
      </c>
      <c r="G238" s="124">
        <f>D238-F238</f>
        <v>1025.7497100000001</v>
      </c>
      <c r="H238" s="124">
        <f>2178.47653</f>
        <v>2178.4765299999999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</f>
        <v>0</v>
      </c>
      <c r="F240" s="168">
        <f>3.02253</f>
        <v>3.0225300000000002</v>
      </c>
      <c r="G240" s="124">
        <f>D240-F240</f>
        <v>-3.0225300000000002</v>
      </c>
      <c r="H240" s="168">
        <f>0.248</f>
        <v>0.248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41.811610000000002</v>
      </c>
      <c r="F241" s="190">
        <f>SUM(F237:F240)</f>
        <v>1670.2780599999999</v>
      </c>
      <c r="G241" s="190">
        <f>D241-F241</f>
        <v>1332.7219400000001</v>
      </c>
      <c r="H241" s="190">
        <f>H237+H238+H239+H240</f>
        <v>2760.3908700000002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990.94995000000006</v>
      </c>
      <c r="G262" s="276">
        <f t="shared" si="17"/>
        <v>20697.829170000001</v>
      </c>
      <c r="H262" s="276">
        <f>H266+H265+H264+H263</f>
        <v>7038.1708299999991</v>
      </c>
      <c r="I262" s="276">
        <f t="shared" si="17"/>
        <v>18269.168539999999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929.89223</f>
        <v>929.89223000000004</v>
      </c>
      <c r="G263" s="280">
        <f>14085.86258</f>
        <v>14085.862580000001</v>
      </c>
      <c r="H263" s="280">
        <f t="shared" ref="H263:H267" si="18">E263-G263</f>
        <v>2584.1374199999991</v>
      </c>
      <c r="I263" s="280">
        <f>12225.84537</f>
        <v>12225.845369999999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2124.96427</f>
        <v>2124.9642699999999</v>
      </c>
      <c r="H264" s="280">
        <f>E264-G264</f>
        <v>2214.0357300000001</v>
      </c>
      <c r="I264" s="280">
        <f>1868.18502</f>
        <v>1868.1850199999999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29.40892</f>
        <v>29.408919999999998</v>
      </c>
      <c r="G265" s="280">
        <f>1475.70853</f>
        <v>1475.7085300000001</v>
      </c>
      <c r="H265" s="280">
        <f t="shared" si="18"/>
        <v>95.29146999999989</v>
      </c>
      <c r="I265" s="280">
        <f>1790.49129</f>
        <v>1790.4912899999999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31.6488</f>
        <v>31.648800000000001</v>
      </c>
      <c r="G266" s="280">
        <f>3011.29379</f>
        <v>3011.2937900000002</v>
      </c>
      <c r="H266" s="280">
        <f t="shared" si="18"/>
        <v>2144.7062099999998</v>
      </c>
      <c r="I266" s="280">
        <f>2384.64686</f>
        <v>2384.6468599999998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0.49</f>
        <v>0.49</v>
      </c>
      <c r="G267" s="290">
        <f>4101.78724</f>
        <v>4101.7872399999997</v>
      </c>
      <c r="H267" s="290">
        <f t="shared" si="18"/>
        <v>1398.2127600000003</v>
      </c>
      <c r="I267" s="290">
        <f>2109.97478</f>
        <v>2109.97478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58.371549999999999</v>
      </c>
      <c r="G268" s="291">
        <f>G270+G269</f>
        <v>2849.4294399999999</v>
      </c>
      <c r="H268" s="291">
        <f>E268-G268</f>
        <v>5150.5705600000001</v>
      </c>
      <c r="I268" s="291">
        <f>I270+I269</f>
        <v>3347.4107199999999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0.432</f>
        <v>0.432</v>
      </c>
      <c r="G269" s="280">
        <f>524.27404</f>
        <v>524.27404000000001</v>
      </c>
      <c r="H269" s="280"/>
      <c r="I269" s="280">
        <f>1031.9526</f>
        <v>1031.9526000000001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57.93955</f>
        <v>57.939549999999997</v>
      </c>
      <c r="G270" s="299">
        <f>2325.1554</f>
        <v>2325.1554000000001</v>
      </c>
      <c r="H270" s="299"/>
      <c r="I270" s="299">
        <f>2315.45812</f>
        <v>2315.4581199999998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0.1044</f>
        <v>0.10440000000000001</v>
      </c>
      <c r="G272" s="290">
        <f>166.18569</f>
        <v>166.18568999999999</v>
      </c>
      <c r="H272" s="290">
        <f>E272-G272</f>
        <v>-166.18568999999999</v>
      </c>
      <c r="I272" s="290">
        <f>105.05807</f>
        <v>105.05807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1049.9159</v>
      </c>
      <c r="G273" s="308">
        <f t="shared" si="19"/>
        <v>27815.800040000002</v>
      </c>
      <c r="H273" s="308">
        <f>H262+H267+H268+H271+H272</f>
        <v>13433.19996</v>
      </c>
      <c r="I273" s="308">
        <f t="shared" si="19"/>
        <v>23831.728509999997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16" t="s">
        <v>117</v>
      </c>
      <c r="D288" s="316"/>
      <c r="E288" s="316"/>
      <c r="F288" s="316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45.529600000000002</v>
      </c>
      <c r="F294" s="25">
        <f>SUM(F295:F296)</f>
        <v>729.64874999999995</v>
      </c>
      <c r="G294" s="82">
        <f>D294-F294</f>
        <v>49.35125000000005</v>
      </c>
      <c r="H294" s="25">
        <f>SUM(H295:H296)</f>
        <v>800.96678000000009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29.677</f>
        <v>29.677</v>
      </c>
      <c r="F295" s="198">
        <f>544.63425</f>
        <v>544.63424999999995</v>
      </c>
      <c r="G295" s="199"/>
      <c r="H295" s="198">
        <f>609.93658</f>
        <v>609.93658000000005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15.8526</f>
        <v>15.852600000000001</v>
      </c>
      <c r="F296" s="202">
        <f>185.0145</f>
        <v>185.0145</v>
      </c>
      <c r="G296" s="203"/>
      <c r="H296" s="202">
        <f>191.0302</f>
        <v>191.03020000000001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45.529600000000002</v>
      </c>
      <c r="F304" s="39">
        <f>F294+F297+F300+F303</f>
        <v>729.64874999999995</v>
      </c>
      <c r="G304" s="40">
        <f>D304-F304</f>
        <v>1608.3512500000002</v>
      </c>
      <c r="H304" s="39">
        <f>H294+H297+H300+H303</f>
        <v>800.96678000000009</v>
      </c>
      <c r="I304" s="26"/>
      <c r="J304" s="127"/>
    </row>
    <row r="305" spans="1:10" ht="42" customHeight="1" x14ac:dyDescent="0.25">
      <c r="A305" s="223"/>
      <c r="B305" s="230"/>
      <c r="C305" s="318" t="s">
        <v>112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16" t="s">
        <v>154</v>
      </c>
      <c r="D316" s="316"/>
      <c r="E316" s="316"/>
      <c r="F316" s="316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1.14307</f>
        <v>1.14307</v>
      </c>
      <c r="F322" s="29">
        <f>944.20517</f>
        <v>944.20516999999995</v>
      </c>
      <c r="G322" s="238">
        <f>D322-F322</f>
        <v>-696.20516999999995</v>
      </c>
      <c r="H322" s="29">
        <f>615.61582</f>
        <v>615.61581999999999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55.4163</f>
        <v>55.4163</v>
      </c>
      <c r="F323" s="29">
        <f>1596.29253</f>
        <v>1596.2925299999999</v>
      </c>
      <c r="G323" s="241">
        <f>D323-F323</f>
        <v>20451.707470000001</v>
      </c>
      <c r="H323" s="29">
        <f>2038.11296</f>
        <v>2038.1129599999999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56.559370000000001</v>
      </c>
      <c r="F324" s="39">
        <f>F323+F322</f>
        <v>2540.4976999999999</v>
      </c>
      <c r="G324" s="39">
        <f>G323+G322</f>
        <v>19755.5023</v>
      </c>
      <c r="H324" s="39">
        <f>H323+H322</f>
        <v>2653.7287799999999</v>
      </c>
      <c r="I324" s="26"/>
      <c r="J324" s="127"/>
    </row>
    <row r="325" spans="1:10" ht="22.5" customHeight="1" x14ac:dyDescent="0.25">
      <c r="A325" s="223"/>
      <c r="B325" s="69"/>
      <c r="C325" s="314" t="s">
        <v>153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3" t="s">
        <v>146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4" t="s">
        <v>153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39&amp;R29.09.2025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2025-09-30T11:09:16Z</dcterms:modified>
</cp:coreProperties>
</file>