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8B7A1EAA-A85B-49C0-B694-9D03DF5658E8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1" i="1" l="1"/>
  <c r="D391" i="1"/>
  <c r="E380" i="1"/>
  <c r="D380" i="1"/>
  <c r="H372" i="1"/>
  <c r="F372" i="1"/>
  <c r="D369" i="1"/>
  <c r="D368" i="1"/>
  <c r="D343" i="1"/>
  <c r="E139" i="1"/>
  <c r="D139" i="1"/>
  <c r="D133" i="1" s="1"/>
  <c r="D150" i="1" s="1"/>
  <c r="E134" i="1"/>
  <c r="E133" i="1" s="1"/>
  <c r="E150" i="1" s="1"/>
  <c r="D134" i="1"/>
  <c r="E128" i="1"/>
  <c r="D128" i="1"/>
  <c r="E96" i="1"/>
  <c r="E95" i="1" s="1"/>
  <c r="D96" i="1"/>
  <c r="D95" i="1"/>
  <c r="E92" i="1"/>
  <c r="D92" i="1"/>
  <c r="D107" i="1" s="1"/>
  <c r="H85" i="1"/>
  <c r="F85" i="1"/>
  <c r="D85" i="1"/>
  <c r="I35" i="1"/>
  <c r="I34" i="1"/>
  <c r="I26" i="1" s="1"/>
  <c r="E34" i="1"/>
  <c r="D34" i="1"/>
  <c r="E27" i="1"/>
  <c r="E26" i="1" s="1"/>
  <c r="E44" i="1" s="1"/>
  <c r="D27" i="1"/>
  <c r="D26" i="1"/>
  <c r="E23" i="1"/>
  <c r="D23" i="1"/>
  <c r="D44" i="1" s="1"/>
  <c r="H16" i="1"/>
  <c r="F16" i="1"/>
  <c r="D16" i="1"/>
  <c r="D423" i="1"/>
  <c r="H422" i="1"/>
  <c r="F422" i="1"/>
  <c r="G422" i="1" s="1"/>
  <c r="E422" i="1"/>
  <c r="H421" i="1"/>
  <c r="F421" i="1"/>
  <c r="E421" i="1"/>
  <c r="H420" i="1"/>
  <c r="F420" i="1"/>
  <c r="E420" i="1"/>
  <c r="H419" i="1"/>
  <c r="F419" i="1"/>
  <c r="G419" i="1" s="1"/>
  <c r="E419" i="1"/>
  <c r="H418" i="1"/>
  <c r="F418" i="1"/>
  <c r="E418" i="1"/>
  <c r="H417" i="1"/>
  <c r="F417" i="1"/>
  <c r="F416" i="1" s="1"/>
  <c r="G416" i="1" s="1"/>
  <c r="E417" i="1"/>
  <c r="H416" i="1"/>
  <c r="E416" i="1"/>
  <c r="H415" i="1"/>
  <c r="F415" i="1"/>
  <c r="E415" i="1"/>
  <c r="H414" i="1"/>
  <c r="F414" i="1"/>
  <c r="F413" i="1" s="1"/>
  <c r="E414" i="1"/>
  <c r="E413" i="1" s="1"/>
  <c r="E423" i="1" s="1"/>
  <c r="H413" i="1"/>
  <c r="H423" i="1" s="1"/>
  <c r="I390" i="1"/>
  <c r="H390" i="1"/>
  <c r="G390" i="1"/>
  <c r="F390" i="1"/>
  <c r="I389" i="1"/>
  <c r="G389" i="1"/>
  <c r="H389" i="1" s="1"/>
  <c r="F389" i="1"/>
  <c r="I388" i="1"/>
  <c r="G388" i="1"/>
  <c r="G386" i="1" s="1"/>
  <c r="H386" i="1" s="1"/>
  <c r="F388" i="1"/>
  <c r="I387" i="1"/>
  <c r="I386" i="1" s="1"/>
  <c r="G387" i="1"/>
  <c r="F387" i="1"/>
  <c r="F386" i="1"/>
  <c r="I385" i="1"/>
  <c r="H385" i="1"/>
  <c r="G385" i="1"/>
  <c r="F385" i="1"/>
  <c r="I384" i="1"/>
  <c r="H384" i="1"/>
  <c r="G384" i="1"/>
  <c r="F384" i="1"/>
  <c r="I383" i="1"/>
  <c r="I380" i="1" s="1"/>
  <c r="H383" i="1"/>
  <c r="G383" i="1"/>
  <c r="F383" i="1"/>
  <c r="I382" i="1"/>
  <c r="H382" i="1"/>
  <c r="G382" i="1"/>
  <c r="F382" i="1"/>
  <c r="I381" i="1"/>
  <c r="H381" i="1"/>
  <c r="G381" i="1"/>
  <c r="F381" i="1"/>
  <c r="G380" i="1"/>
  <c r="G391" i="1" s="1"/>
  <c r="F380" i="1"/>
  <c r="F391" i="1" s="1"/>
  <c r="D354" i="1"/>
  <c r="G354" i="1" s="1"/>
  <c r="H353" i="1"/>
  <c r="G353" i="1"/>
  <c r="F353" i="1"/>
  <c r="E353" i="1"/>
  <c r="H352" i="1"/>
  <c r="F352" i="1"/>
  <c r="G352" i="1" s="1"/>
  <c r="E352" i="1"/>
  <c r="H351" i="1"/>
  <c r="G351" i="1"/>
  <c r="F351" i="1"/>
  <c r="E351" i="1"/>
  <c r="H350" i="1"/>
  <c r="H354" i="1" s="1"/>
  <c r="F350" i="1"/>
  <c r="F354" i="1" s="1"/>
  <c r="E350" i="1"/>
  <c r="E354" i="1" s="1"/>
  <c r="H299" i="1"/>
  <c r="D299" i="1"/>
  <c r="H298" i="1"/>
  <c r="G298" i="1"/>
  <c r="F298" i="1"/>
  <c r="E298" i="1"/>
  <c r="H297" i="1"/>
  <c r="F297" i="1"/>
  <c r="E297" i="1"/>
  <c r="H296" i="1"/>
  <c r="F296" i="1"/>
  <c r="F295" i="1" s="1"/>
  <c r="E296" i="1"/>
  <c r="H295" i="1"/>
  <c r="E295" i="1"/>
  <c r="E299" i="1" s="1"/>
  <c r="D253" i="1"/>
  <c r="H252" i="1"/>
  <c r="F252" i="1"/>
  <c r="G252" i="1" s="1"/>
  <c r="E252" i="1"/>
  <c r="H251" i="1"/>
  <c r="F251" i="1"/>
  <c r="E251" i="1"/>
  <c r="E249" i="1" s="1"/>
  <c r="E253" i="1" s="1"/>
  <c r="H250" i="1"/>
  <c r="F250" i="1"/>
  <c r="F249" i="1" s="1"/>
  <c r="E250" i="1"/>
  <c r="H249" i="1"/>
  <c r="H253" i="1" s="1"/>
  <c r="F207" i="1"/>
  <c r="D207" i="1"/>
  <c r="G207" i="1" s="1"/>
  <c r="H206" i="1"/>
  <c r="F206" i="1"/>
  <c r="G206" i="1" s="1"/>
  <c r="E206" i="1"/>
  <c r="H205" i="1"/>
  <c r="G205" i="1"/>
  <c r="F205" i="1"/>
  <c r="E205" i="1"/>
  <c r="H204" i="1"/>
  <c r="H207" i="1" s="1"/>
  <c r="F204" i="1"/>
  <c r="G204" i="1" s="1"/>
  <c r="E204" i="1"/>
  <c r="E207" i="1" s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H180" i="1"/>
  <c r="F180" i="1"/>
  <c r="E180" i="1"/>
  <c r="H179" i="1"/>
  <c r="H178" i="1" s="1"/>
  <c r="F179" i="1"/>
  <c r="F178" i="1" s="1"/>
  <c r="G178" i="1" s="1"/>
  <c r="E179" i="1"/>
  <c r="E178" i="1"/>
  <c r="H177" i="1"/>
  <c r="F177" i="1"/>
  <c r="G177" i="1" s="1"/>
  <c r="E177" i="1"/>
  <c r="H176" i="1"/>
  <c r="F176" i="1"/>
  <c r="E176" i="1"/>
  <c r="H175" i="1"/>
  <c r="F175" i="1"/>
  <c r="F184" i="1" s="1"/>
  <c r="G184" i="1" s="1"/>
  <c r="E175" i="1"/>
  <c r="E184" i="1" s="1"/>
  <c r="G150" i="1"/>
  <c r="I148" i="1"/>
  <c r="H148" i="1"/>
  <c r="G148" i="1"/>
  <c r="F148" i="1"/>
  <c r="I147" i="1"/>
  <c r="G147" i="1"/>
  <c r="H147" i="1" s="1"/>
  <c r="F147" i="1"/>
  <c r="H146" i="1"/>
  <c r="I145" i="1"/>
  <c r="G145" i="1"/>
  <c r="H145" i="1" s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H140" i="1"/>
  <c r="G140" i="1"/>
  <c r="F140" i="1"/>
  <c r="I139" i="1"/>
  <c r="G139" i="1"/>
  <c r="F139" i="1"/>
  <c r="I138" i="1"/>
  <c r="H138" i="1"/>
  <c r="G138" i="1"/>
  <c r="F138" i="1"/>
  <c r="I137" i="1"/>
  <c r="H137" i="1"/>
  <c r="G137" i="1"/>
  <c r="F137" i="1"/>
  <c r="I136" i="1"/>
  <c r="G136" i="1"/>
  <c r="H136" i="1" s="1"/>
  <c r="F136" i="1"/>
  <c r="I135" i="1"/>
  <c r="H135" i="1"/>
  <c r="G135" i="1"/>
  <c r="F135" i="1"/>
  <c r="F134" i="1" s="1"/>
  <c r="F133" i="1" s="1"/>
  <c r="I134" i="1"/>
  <c r="I133" i="1" s="1"/>
  <c r="G134" i="1"/>
  <c r="G133" i="1"/>
  <c r="I132" i="1"/>
  <c r="H132" i="1"/>
  <c r="G132" i="1"/>
  <c r="F132" i="1"/>
  <c r="I131" i="1"/>
  <c r="G131" i="1"/>
  <c r="H131" i="1" s="1"/>
  <c r="F131" i="1"/>
  <c r="I130" i="1"/>
  <c r="H130" i="1"/>
  <c r="G130" i="1"/>
  <c r="F130" i="1"/>
  <c r="I129" i="1"/>
  <c r="G129" i="1"/>
  <c r="H129" i="1" s="1"/>
  <c r="F129" i="1"/>
  <c r="I128" i="1"/>
  <c r="I150" i="1" s="1"/>
  <c r="G128" i="1"/>
  <c r="F128" i="1"/>
  <c r="F150" i="1" s="1"/>
  <c r="C126" i="1"/>
  <c r="I106" i="1"/>
  <c r="H106" i="1"/>
  <c r="G106" i="1"/>
  <c r="F106" i="1"/>
  <c r="I105" i="1"/>
  <c r="H105" i="1"/>
  <c r="G105" i="1"/>
  <c r="F105" i="1"/>
  <c r="I104" i="1"/>
  <c r="H104" i="1"/>
  <c r="G104" i="1"/>
  <c r="F104" i="1"/>
  <c r="I103" i="1"/>
  <c r="H103" i="1"/>
  <c r="G103" i="1"/>
  <c r="F103" i="1"/>
  <c r="I102" i="1"/>
  <c r="H102" i="1"/>
  <c r="G102" i="1"/>
  <c r="F102" i="1"/>
  <c r="I101" i="1"/>
  <c r="G101" i="1"/>
  <c r="H101" i="1" s="1"/>
  <c r="F101" i="1"/>
  <c r="I100" i="1"/>
  <c r="H100" i="1"/>
  <c r="G100" i="1"/>
  <c r="F100" i="1"/>
  <c r="I99" i="1"/>
  <c r="G99" i="1"/>
  <c r="H99" i="1" s="1"/>
  <c r="F99" i="1"/>
  <c r="I98" i="1"/>
  <c r="H98" i="1"/>
  <c r="G98" i="1"/>
  <c r="F98" i="1"/>
  <c r="I97" i="1"/>
  <c r="I96" i="1" s="1"/>
  <c r="I95" i="1" s="1"/>
  <c r="G97" i="1"/>
  <c r="H97" i="1" s="1"/>
  <c r="F97" i="1"/>
  <c r="F96" i="1" s="1"/>
  <c r="F95" i="1" s="1"/>
  <c r="G96" i="1"/>
  <c r="G95" i="1" s="1"/>
  <c r="G107" i="1" s="1"/>
  <c r="I94" i="1"/>
  <c r="I92" i="1" s="1"/>
  <c r="G94" i="1"/>
  <c r="H94" i="1" s="1"/>
  <c r="H92" i="1" s="1"/>
  <c r="F94" i="1"/>
  <c r="I93" i="1"/>
  <c r="H93" i="1"/>
  <c r="G93" i="1"/>
  <c r="F93" i="1"/>
  <c r="G92" i="1"/>
  <c r="F92" i="1"/>
  <c r="F107" i="1" s="1"/>
  <c r="C89" i="1"/>
  <c r="H61" i="1"/>
  <c r="H60" i="1"/>
  <c r="I55" i="1"/>
  <c r="G55" i="1"/>
  <c r="H55" i="1" s="1"/>
  <c r="F55" i="1"/>
  <c r="I43" i="1"/>
  <c r="G43" i="1"/>
  <c r="H43" i="1" s="1"/>
  <c r="F43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G35" i="1"/>
  <c r="F35" i="1"/>
  <c r="F34" i="1" s="1"/>
  <c r="H35" i="1"/>
  <c r="G34" i="1"/>
  <c r="H34" i="1" s="1"/>
  <c r="I33" i="1"/>
  <c r="H33" i="1"/>
  <c r="G33" i="1"/>
  <c r="F33" i="1"/>
  <c r="I32" i="1"/>
  <c r="H32" i="1"/>
  <c r="G32" i="1"/>
  <c r="F32" i="1"/>
  <c r="I31" i="1"/>
  <c r="H31" i="1"/>
  <c r="G31" i="1"/>
  <c r="F31" i="1"/>
  <c r="I30" i="1"/>
  <c r="G30" i="1"/>
  <c r="H30" i="1" s="1"/>
  <c r="F30" i="1"/>
  <c r="I29" i="1"/>
  <c r="G29" i="1"/>
  <c r="H29" i="1" s="1"/>
  <c r="F29" i="1"/>
  <c r="F27" i="1" s="1"/>
  <c r="I28" i="1"/>
  <c r="G28" i="1"/>
  <c r="H28" i="1" s="1"/>
  <c r="F28" i="1"/>
  <c r="I27" i="1"/>
  <c r="I25" i="1"/>
  <c r="G25" i="1"/>
  <c r="H25" i="1" s="1"/>
  <c r="F25" i="1"/>
  <c r="I24" i="1"/>
  <c r="I23" i="1" s="1"/>
  <c r="G24" i="1"/>
  <c r="H24" i="1" s="1"/>
  <c r="F24" i="1"/>
  <c r="F23" i="1" s="1"/>
  <c r="G23" i="1"/>
  <c r="H380" i="1" l="1"/>
  <c r="H391" i="1" s="1"/>
  <c r="H139" i="1"/>
  <c r="H128" i="1"/>
  <c r="I44" i="1"/>
  <c r="H26" i="1"/>
  <c r="I107" i="1"/>
  <c r="H184" i="1"/>
  <c r="H23" i="1"/>
  <c r="H27" i="1"/>
  <c r="F26" i="1"/>
  <c r="F44" i="1" s="1"/>
  <c r="F299" i="1"/>
  <c r="G299" i="1" s="1"/>
  <c r="G295" i="1"/>
  <c r="H96" i="1"/>
  <c r="H95" i="1" s="1"/>
  <c r="H107" i="1" s="1"/>
  <c r="H134" i="1"/>
  <c r="H133" i="1" s="1"/>
  <c r="H150" i="1" s="1"/>
  <c r="I391" i="1"/>
  <c r="G249" i="1"/>
  <c r="F253" i="1"/>
  <c r="G253" i="1" s="1"/>
  <c r="F423" i="1"/>
  <c r="G413" i="1"/>
  <c r="E107" i="1"/>
  <c r="G423" i="1"/>
  <c r="G27" i="1"/>
  <c r="G26" i="1" s="1"/>
  <c r="G44" i="1" s="1"/>
  <c r="G350" i="1"/>
  <c r="G175" i="1"/>
  <c r="H44" i="1" l="1"/>
</calcChain>
</file>

<file path=xl/sharedStrings.xml><?xml version="1.0" encoding="utf-8"?>
<sst xmlns="http://schemas.openxmlformats.org/spreadsheetml/2006/main" count="357" uniqueCount="149">
  <si>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</si>
  <si>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</si>
  <si>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</si>
  <si>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</si>
  <si>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</si>
  <si>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</si>
  <si>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</si>
  <si>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</si>
  <si>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</si>
  <si>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</si>
  <si>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</si>
  <si>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</si>
  <si>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</si>
  <si>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</si>
  <si>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</si>
  <si>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</si>
  <si>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</si>
  <si>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</si>
  <si>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</si>
  <si>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</si>
  <si>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</si>
  <si>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</si>
  <si>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</si>
  <si>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</si>
  <si>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</si>
  <si>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</si>
  <si>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</si>
  <si>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</si>
  <si>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</si>
  <si>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</si>
  <si>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</si>
  <si>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</si>
  <si>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</si>
  <si>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</si>
  <si>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</si>
  <si>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</si>
  <si>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</si>
  <si>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</si>
  <si>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</si>
  <si>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</si>
  <si>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</si>
  <si>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</si>
  <si>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</si>
  <si>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</si>
  <si>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</si>
  <si>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</si>
  <si>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</si>
  <si>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</si>
  <si>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</si>
  <si>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</si>
  <si>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</si>
  <si>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</si>
  <si>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</si>
  <si>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</si>
  <si>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</si>
  <si>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</si>
  <si>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</si>
  <si>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</si>
  <si>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</si>
  <si>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</si>
  <si>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</si>
  <si>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</si>
  <si>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</si>
  <si>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</si>
  <si>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</si>
  <si>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</si>
  <si>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</si>
  <si>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</si>
  <si>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</si>
  <si>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</si>
  <si>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</si>
  <si>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</si>
  <si>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</si>
  <si>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</si>
  <si>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</si>
  <si>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</si>
  <si>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</si>
  <si>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</si>
  <si>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</si>
  <si>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</si>
  <si>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</si>
  <si>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</si>
  <si>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</si>
  <si>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</si>
  <si>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</si>
  <si>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</si>
  <si>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</si>
  <si>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</si>
  <si>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</si>
  <si>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</si>
  <si>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</si>
  <si>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</si>
  <si>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</si>
  <si>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</si>
  <si>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</si>
  <si>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</si>
  <si>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</si>
  <si>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</si>
  <si>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</si>
  <si>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</si>
  <si>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</si>
  <si>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</si>
  <si>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</si>
  <si>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</si>
  <si>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</si>
  <si>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</si>
  <si>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</si>
  <si>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</si>
  <si>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</si>
  <si>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</si>
  <si>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</si>
  <si>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</si>
  <si>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</si>
  <si>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</si>
  <si>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</si>
  <si>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</si>
  <si>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</si>
  <si>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</si>
  <si>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</si>
  <si>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</si>
  <si>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</si>
  <si>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</si>
  <si>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</si>
  <si>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</si>
  <si>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</si>
  <si>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2 Registrert rekreasjonsfiske utgjør 2 tonn, men det legges til grunn at hele avsetningen tas</t>
  </si>
  <si>
    <t>4 Registrert rekreasjonsfiske utgjør 9 tonn, men det legges til grunn at hele avsetningen tas</t>
  </si>
  <si>
    <t>3 Registrert rekreasjonsfiske utgjør 19 tonn, men det legges til grunn at hele avsetningen tas</t>
  </si>
  <si>
    <t>FANGST UKE 4</t>
  </si>
  <si>
    <t>FANGST T.O.M UKE 4</t>
  </si>
  <si>
    <t>RESTKVOTER UKE 4</t>
  </si>
  <si>
    <t>FANGST T.O.M UKE 4 2024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</si>
  <si>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</si>
  <si>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t>4  Kvoter justert for kvotefleksibilitet, dvs. kvoteoverføringer fra 2024, disse vil være ferdigstilt ila februar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</si>
  <si>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</si>
  <si>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</si>
  <si>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2024, disse vil være ferdigstilt ila februar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</si>
  <si>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</si>
  <si>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</si>
  <si>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2024, disse vil være ferdigstilt ila februar</t>
    </r>
  </si>
  <si>
    <r>
      <t xml:space="preserve">1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</si>
  <si>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t xml:space="preserve">2 </t>
    </r>
    <r>
      <rPr>
        <sz val="9"/>
        <rFont val="Calibri"/>
        <family val="2"/>
      </rPr>
      <t>14 094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</si>
  <si>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</si>
  <si>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</si>
  <si>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</si>
  <si>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1 458 tonn avsatt til rekrutteringsordningen</t>
    </r>
  </si>
  <si>
    <t>FANGST AV TORSK, HYSE, SEI, BLÅKVEITE, SNABELUER, LANGE, BROSME OG REKER I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</si>
  <si>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2024, disse vil være ferdigstilt ila februar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</si>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</sst>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43" fillId="0" borderId="0" xfId="0" applyFont="1" applyAlignme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A170" zoomScale="130" zoomScaleNormal="85" zoomScaleSheetLayoutView="100" zoomScalePageLayoutView="130" workbookViewId="0">
      <selection activeCell="I181" sqref="I181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4" t="s">
        <v>146</v>
      </c>
      <c r="C2" s="305"/>
      <c r="D2" s="305"/>
      <c r="E2" s="305"/>
      <c r="F2" s="305"/>
      <c r="G2" s="305"/>
      <c r="H2" s="305"/>
      <c r="I2" s="305"/>
      <c r="J2" s="306"/>
    </row>
    <row r="3" spans="1:10" ht="14.85" customHeight="1" x14ac:dyDescent="0.25">
      <c r="A3" s="1"/>
      <c r="B3" s="1"/>
      <c r="C3" s="1" t="s">
        <v>113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113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113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113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113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7"/>
      <c r="C9" s="308"/>
      <c r="D9" s="308"/>
      <c r="E9" s="308"/>
      <c r="F9" s="308"/>
      <c r="G9" s="308"/>
      <c r="H9" s="308"/>
      <c r="I9" s="308"/>
      <c r="J9" s="309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9" t="s">
        <v>1</v>
      </c>
      <c r="D11" s="300"/>
      <c r="E11" s="299" t="s">
        <v>2</v>
      </c>
      <c r="F11" s="300"/>
      <c r="G11" s="299" t="s">
        <v>3</v>
      </c>
      <c r="H11" s="300"/>
      <c r="I11" s="178"/>
      <c r="J11" s="244"/>
    </row>
    <row r="12" spans="1:10" ht="14.1" customHeight="1" x14ac:dyDescent="0.25">
      <c r="A12" s="1"/>
      <c r="B12" s="254"/>
      <c r="C12" s="99"/>
      <c r="D12" s="99"/>
      <c r="E12" s="99" t="s">
        <v>4</v>
      </c>
      <c r="F12" s="114">
        <v>38668</v>
      </c>
      <c r="G12" s="115" t="s">
        <v>5</v>
      </c>
      <c r="H12" s="114">
        <v>12624</v>
      </c>
      <c r="I12" s="178"/>
      <c r="J12" s="244"/>
    </row>
    <row r="13" spans="1:10" ht="15.75" customHeight="1" x14ac:dyDescent="0.25">
      <c r="A13" s="1"/>
      <c r="B13" s="254"/>
      <c r="C13" s="115" t="s">
        <v>6</v>
      </c>
      <c r="D13" s="117">
        <v>163436</v>
      </c>
      <c r="E13" s="115" t="s">
        <v>7</v>
      </c>
      <c r="F13" s="117">
        <v>109370</v>
      </c>
      <c r="G13" s="115" t="s">
        <v>8</v>
      </c>
      <c r="H13" s="117">
        <v>78055</v>
      </c>
      <c r="I13" s="178"/>
      <c r="J13" s="244"/>
    </row>
    <row r="14" spans="1:10" ht="14.25" customHeight="1" x14ac:dyDescent="0.25">
      <c r="A14" s="1"/>
      <c r="B14" s="254"/>
      <c r="C14" s="115" t="s">
        <v>9</v>
      </c>
      <c r="D14" s="117">
        <v>151436</v>
      </c>
      <c r="E14" s="115" t="s">
        <v>10</v>
      </c>
      <c r="F14" s="117">
        <v>15398</v>
      </c>
      <c r="G14" s="115" t="s">
        <v>11</v>
      </c>
      <c r="H14" s="117">
        <v>9859</v>
      </c>
      <c r="I14" s="178"/>
      <c r="J14" s="244"/>
    </row>
    <row r="15" spans="1:10" ht="15.75" customHeight="1" x14ac:dyDescent="0.25">
      <c r="A15" s="1"/>
      <c r="B15" s="254"/>
      <c r="C15" s="115" t="s">
        <v>74</v>
      </c>
      <c r="D15" s="117">
        <v>46128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" customHeight="1" x14ac:dyDescent="0.25">
      <c r="A16" s="1"/>
      <c r="B16" s="254"/>
      <c r="C16" s="177" t="s">
        <v>13</v>
      </c>
      <c r="D16" s="189">
        <f>SUM(D13:D15)</f>
        <v>361000</v>
      </c>
      <c r="E16" s="177" t="s">
        <v>14</v>
      </c>
      <c r="F16" s="189">
        <f>SUM(F12:F15)</f>
        <v>163436</v>
      </c>
      <c r="G16" s="177" t="s">
        <v>7</v>
      </c>
      <c r="H16" s="189">
        <f>SUM(H12:H15)</f>
        <v>109370</v>
      </c>
      <c r="J16" s="244"/>
    </row>
    <row r="17" spans="1:10" ht="30" customHeight="1" x14ac:dyDescent="0.25">
      <c r="A17" s="101"/>
      <c r="B17" s="24"/>
      <c r="C17" s="303"/>
      <c r="D17" s="303"/>
      <c r="E17" s="303"/>
      <c r="F17" s="303"/>
      <c r="G17" s="303"/>
      <c r="H17" s="303"/>
      <c r="I17" s="101"/>
      <c r="J17" s="157"/>
    </row>
    <row r="18" spans="1:10" ht="15" customHeight="1" x14ac:dyDescent="0.2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128</v>
      </c>
      <c r="G22" s="68" t="s">
        <v>129</v>
      </c>
      <c r="H22" s="68" t="s">
        <v>130</v>
      </c>
      <c r="I22" s="68" t="s">
        <v>131</v>
      </c>
      <c r="J22" s="280"/>
    </row>
    <row r="23" spans="1:10" ht="14.1" customHeight="1" x14ac:dyDescent="0.25">
      <c r="A23" s="1"/>
      <c r="B23" s="254"/>
      <c r="C23" s="16" t="s">
        <v>19</v>
      </c>
      <c r="D23" s="28">
        <f>D24+D25</f>
        <v>38668</v>
      </c>
      <c r="E23" s="28">
        <f>E24+E25</f>
        <v>38668</v>
      </c>
      <c r="F23" s="28">
        <f t="shared" ref="F23:I23" si="0">F25+F24</f>
        <v>295.87954999999999</v>
      </c>
      <c r="G23" s="28">
        <f t="shared" si="0"/>
        <v>2041.3748800000001</v>
      </c>
      <c r="H23" s="11">
        <f t="shared" si="0"/>
        <v>36626.625119999997</v>
      </c>
      <c r="I23" s="11">
        <f t="shared" si="0"/>
        <v>2897.2037299999997</v>
      </c>
      <c r="J23" s="244"/>
    </row>
    <row r="24" spans="1:10" ht="14.1" customHeight="1" x14ac:dyDescent="0.25">
      <c r="A24" s="1"/>
      <c r="B24" s="254"/>
      <c r="C24" s="44" t="s">
        <v>20</v>
      </c>
      <c r="D24" s="45">
        <v>37918</v>
      </c>
      <c r="E24" s="45">
        <v>37918</v>
      </c>
      <c r="F24" s="23">
        <f>295.87955</f>
        <v>295.87954999999999</v>
      </c>
      <c r="G24" s="23">
        <f>1992.86338</f>
        <v>1992.86338</v>
      </c>
      <c r="H24" s="23">
        <f>E24-G24</f>
        <v>35925.136619999997</v>
      </c>
      <c r="I24" s="23">
        <f>2879.79773</f>
        <v>2879.7977299999998</v>
      </c>
      <c r="J24" s="244"/>
    </row>
    <row r="25" spans="1:10" ht="14.1" customHeight="1" x14ac:dyDescent="0.25">
      <c r="A25" s="1"/>
      <c r="B25" s="254"/>
      <c r="C25" s="48" t="s">
        <v>21</v>
      </c>
      <c r="D25" s="49">
        <v>750</v>
      </c>
      <c r="E25" s="49">
        <v>750</v>
      </c>
      <c r="F25" s="171">
        <f>0</f>
        <v>0</v>
      </c>
      <c r="G25" s="23">
        <f>48.5115</f>
        <v>48.511499999999998</v>
      </c>
      <c r="H25" s="23">
        <f>E25-G25</f>
        <v>701.48850000000004</v>
      </c>
      <c r="I25" s="23">
        <f>17.406</f>
        <v>17.405999999999999</v>
      </c>
      <c r="J25" s="244"/>
    </row>
    <row r="26" spans="1:10" ht="14.1" customHeight="1" x14ac:dyDescent="0.25">
      <c r="A26" s="1"/>
      <c r="B26" s="254"/>
      <c r="C26" s="16" t="s">
        <v>22</v>
      </c>
      <c r="D26" s="28">
        <f>D27+D33+D34</f>
        <v>112463</v>
      </c>
      <c r="E26" s="28">
        <f>E27+E33+E34</f>
        <v>112463</v>
      </c>
      <c r="F26" s="28">
        <f t="shared" ref="F26:I26" si="1">F34+F33+F27</f>
        <v>1832.3950600000001</v>
      </c>
      <c r="G26" s="11">
        <f t="shared" si="1"/>
        <v>3361.9734199999998</v>
      </c>
      <c r="H26" s="11">
        <f t="shared" si="1"/>
        <v>109101.02658000001</v>
      </c>
      <c r="I26" s="11">
        <f t="shared" si="1"/>
        <v>7895.4782000000005</v>
      </c>
      <c r="J26" s="244"/>
    </row>
    <row r="27" spans="1:10" ht="15" customHeight="1" x14ac:dyDescent="0.25">
      <c r="A27" s="51"/>
      <c r="B27" s="53"/>
      <c r="C27" s="56" t="s">
        <v>23</v>
      </c>
      <c r="D27" s="58">
        <f>D28+D29+D30+D31+D32</f>
        <v>89020</v>
      </c>
      <c r="E27" s="58">
        <f>E28+E29+E30+E31+E32</f>
        <v>89020</v>
      </c>
      <c r="F27" s="132">
        <f>F28+F29+F30+F31+F32</f>
        <v>1646.0528400000001</v>
      </c>
      <c r="G27" s="132">
        <f t="shared" ref="G27:I27" si="2">G28+G29+G30+G31+G32</f>
        <v>2891.7262599999999</v>
      </c>
      <c r="H27" s="132">
        <f t="shared" si="2"/>
        <v>86128.273740000004</v>
      </c>
      <c r="I27" s="132">
        <f t="shared" si="2"/>
        <v>5933.4823500000002</v>
      </c>
      <c r="J27" s="244"/>
    </row>
    <row r="28" spans="1:10" ht="14.1" customHeight="1" x14ac:dyDescent="0.25">
      <c r="A28" s="197"/>
      <c r="B28" s="182"/>
      <c r="C28" s="62" t="s">
        <v>24</v>
      </c>
      <c r="D28" s="63">
        <v>22666</v>
      </c>
      <c r="E28" s="63">
        <v>22666</v>
      </c>
      <c r="F28" s="203">
        <f>357.13819</f>
        <v>357.13819000000001</v>
      </c>
      <c r="G28" s="127">
        <f>735.56204 - G56</f>
        <v>735.56204000000002</v>
      </c>
      <c r="H28" s="127">
        <f t="shared" ref="H28:H40" si="3">E28-G28</f>
        <v>21930.437959999999</v>
      </c>
      <c r="I28" s="127">
        <f>1427.45019 - H56</f>
        <v>1427.45019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22686</v>
      </c>
      <c r="E29" s="63">
        <v>22686</v>
      </c>
      <c r="F29" s="127">
        <f>703.94299</f>
        <v>703.94299000000001</v>
      </c>
      <c r="G29" s="127">
        <f>1253.65615 - G57</f>
        <v>1253.65615</v>
      </c>
      <c r="H29" s="127">
        <f t="shared" si="3"/>
        <v>21432.343850000001</v>
      </c>
      <c r="I29" s="127">
        <f>2452.53919 - H57</f>
        <v>2452.53919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20630</v>
      </c>
      <c r="E30" s="63">
        <v>20630</v>
      </c>
      <c r="F30" s="127">
        <f>453.93308</f>
        <v>453.93308000000002</v>
      </c>
      <c r="G30" s="127">
        <f>693.19641 - G58</f>
        <v>693.19641000000001</v>
      </c>
      <c r="H30" s="127">
        <f t="shared" si="3"/>
        <v>19936.80359</v>
      </c>
      <c r="I30" s="127">
        <f>1320.07032 - H58</f>
        <v>1320.07032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15166</v>
      </c>
      <c r="E31" s="63">
        <v>15166</v>
      </c>
      <c r="F31" s="127">
        <f>131.03858</f>
        <v>131.03858</v>
      </c>
      <c r="G31" s="127">
        <f>209.31166 - G59</f>
        <v>209.31165999999999</v>
      </c>
      <c r="H31" s="127">
        <f t="shared" si="3"/>
        <v>14956.688340000001</v>
      </c>
      <c r="I31" s="127">
        <f>733.42265 - H59</f>
        <v>733.42264999999998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7872</v>
      </c>
      <c r="F32" s="127">
        <f>F55</f>
        <v>0</v>
      </c>
      <c r="G32" s="127">
        <f>G55</f>
        <v>0</v>
      </c>
      <c r="H32" s="127">
        <f t="shared" si="3"/>
        <v>7872</v>
      </c>
      <c r="I32" s="127">
        <f>I55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12624</v>
      </c>
      <c r="E33" s="58">
        <v>12624</v>
      </c>
      <c r="F33" s="132">
        <f>42.54104</f>
        <v>42.541040000000002</v>
      </c>
      <c r="G33" s="132">
        <f>136.21407</f>
        <v>136.21406999999999</v>
      </c>
      <c r="H33" s="132">
        <f t="shared" si="3"/>
        <v>12487.78593</v>
      </c>
      <c r="I33" s="132">
        <f>1515.36344</f>
        <v>1515.3634400000001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10819</v>
      </c>
      <c r="E34" s="58">
        <f>E35+E36</f>
        <v>10819</v>
      </c>
      <c r="F34" s="132">
        <f>F35+F36</f>
        <v>143.80117999999999</v>
      </c>
      <c r="G34" s="132">
        <f>G35+G36</f>
        <v>334.03309000000002</v>
      </c>
      <c r="H34" s="132">
        <f t="shared" si="3"/>
        <v>10484.966909999999</v>
      </c>
      <c r="I34" s="132">
        <f>I35+I36</f>
        <v>446.63240999999999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9859</v>
      </c>
      <c r="E35" s="63">
        <v>9859</v>
      </c>
      <c r="F35" s="127">
        <f>143.80118</f>
        <v>143.80117999999999</v>
      </c>
      <c r="G35" s="132">
        <f>334.03309 - G60 - G61</f>
        <v>334.03309000000002</v>
      </c>
      <c r="H35" s="127">
        <f t="shared" si="3"/>
        <v>9524.9669099999992</v>
      </c>
      <c r="I35" s="127">
        <f>446.63241 - I60 - I61</f>
        <v>446.63240999999999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F60</f>
        <v>0</v>
      </c>
      <c r="G36" s="71">
        <f>G60</f>
        <v>0</v>
      </c>
      <c r="H36" s="71">
        <f t="shared" si="3"/>
        <v>960</v>
      </c>
      <c r="I36" s="71">
        <f>I60</f>
        <v>0</v>
      </c>
      <c r="J36" s="65"/>
    </row>
    <row r="37" spans="1:13" ht="15.75" customHeight="1" x14ac:dyDescent="0.25">
      <c r="A37" s="1"/>
      <c r="B37" s="254"/>
      <c r="C37" s="73" t="s">
        <v>33</v>
      </c>
      <c r="D37" s="143">
        <v>1000</v>
      </c>
      <c r="E37" s="143">
        <v>1000</v>
      </c>
      <c r="F37" s="139">
        <f>0</f>
        <v>0</v>
      </c>
      <c r="G37" s="139">
        <f>0</f>
        <v>0</v>
      </c>
      <c r="H37" s="139">
        <f t="shared" si="3"/>
        <v>1000</v>
      </c>
      <c r="I37" s="139">
        <f>0</f>
        <v>0</v>
      </c>
      <c r="J37" s="244"/>
    </row>
    <row r="38" spans="1:13" ht="14.1" customHeight="1" x14ac:dyDescent="0.25">
      <c r="A38" s="1"/>
      <c r="B38" s="254"/>
      <c r="C38" s="73" t="s">
        <v>34</v>
      </c>
      <c r="D38" s="143">
        <v>855</v>
      </c>
      <c r="E38" s="143">
        <v>855</v>
      </c>
      <c r="F38" s="98">
        <f>6.1035</f>
        <v>6.1035000000000004</v>
      </c>
      <c r="G38" s="98">
        <f>18.44551</f>
        <v>18.445509999999999</v>
      </c>
      <c r="H38" s="98">
        <f t="shared" si="3"/>
        <v>836.55448999999999</v>
      </c>
      <c r="I38" s="98">
        <f>20.9193</f>
        <v>20.9193</v>
      </c>
      <c r="J38" s="244"/>
    </row>
    <row r="39" spans="1:13" ht="17.25" customHeight="1" x14ac:dyDescent="0.25">
      <c r="A39" s="1"/>
      <c r="B39" s="254"/>
      <c r="C39" s="73" t="s">
        <v>35</v>
      </c>
      <c r="D39" s="143">
        <v>3000</v>
      </c>
      <c r="E39" s="143">
        <v>3000</v>
      </c>
      <c r="F39" s="98">
        <f>F61</f>
        <v>0</v>
      </c>
      <c r="G39" s="98">
        <f>G61</f>
        <v>0</v>
      </c>
      <c r="H39" s="98">
        <f t="shared" si="3"/>
        <v>3000</v>
      </c>
      <c r="I39" s="98">
        <f>I61</f>
        <v>0</v>
      </c>
      <c r="J39" s="244"/>
    </row>
    <row r="40" spans="1:13" ht="17.25" customHeight="1" x14ac:dyDescent="0.25">
      <c r="A40" s="1"/>
      <c r="B40" s="254"/>
      <c r="C40" s="73" t="s">
        <v>36</v>
      </c>
      <c r="D40" s="143">
        <v>7000</v>
      </c>
      <c r="E40" s="143">
        <v>7000</v>
      </c>
      <c r="F40" s="98">
        <f>10.07375</f>
        <v>10.07375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3" ht="17.25" customHeight="1" x14ac:dyDescent="0.25">
      <c r="A41" s="1"/>
      <c r="B41" s="254"/>
      <c r="C41" s="73" t="s">
        <v>38</v>
      </c>
      <c r="D41" s="143">
        <v>450</v>
      </c>
      <c r="E41" s="143">
        <v>450</v>
      </c>
      <c r="F41" s="98">
        <f>16.40317</f>
        <v>16.403169999999999</v>
      </c>
      <c r="G41" s="98">
        <f>24.91609</f>
        <v>24.916090000000001</v>
      </c>
      <c r="H41" s="98">
        <f>E41-G41</f>
        <v>425.08391</v>
      </c>
      <c r="I41" s="98">
        <f>0.5225</f>
        <v>0.52249999999999996</v>
      </c>
      <c r="J41" s="244"/>
    </row>
    <row r="42" spans="1:13" ht="17.25" customHeight="1" x14ac:dyDescent="0.25">
      <c r="A42" s="1"/>
      <c r="B42" s="254"/>
      <c r="C42" s="73"/>
      <c r="D42" s="143"/>
      <c r="E42" s="139"/>
      <c r="F42" s="98"/>
      <c r="G42" s="98"/>
      <c r="H42" s="98"/>
      <c r="I42" s="98"/>
      <c r="J42" s="244"/>
      <c r="M42" s="225"/>
    </row>
    <row r="43" spans="1:13" ht="14.1" customHeight="1" x14ac:dyDescent="0.25">
      <c r="A43" s="1"/>
      <c r="B43" s="254"/>
      <c r="C43" s="73" t="s">
        <v>39</v>
      </c>
      <c r="D43" s="143"/>
      <c r="E43" s="139"/>
      <c r="F43" s="139">
        <f>0.355</f>
        <v>0.35499999999999998</v>
      </c>
      <c r="G43" s="139">
        <f>15.248</f>
        <v>15.247999999999999</v>
      </c>
      <c r="H43" s="139">
        <f t="shared" ref="H43" si="4">E43-G43</f>
        <v>-15.247999999999999</v>
      </c>
      <c r="I43" s="139">
        <f>9.357</f>
        <v>9.3569999999999993</v>
      </c>
      <c r="J43" s="244"/>
    </row>
    <row r="44" spans="1:13" ht="16.5" customHeight="1" x14ac:dyDescent="0.25">
      <c r="A44" s="1"/>
      <c r="B44" s="254"/>
      <c r="C44" s="74" t="s">
        <v>40</v>
      </c>
      <c r="D44" s="76">
        <f t="shared" ref="D44:I44" si="5">D23+D26+D37+D38+D39+D40+D41+D42+D43</f>
        <v>163436</v>
      </c>
      <c r="E44" s="76">
        <f t="shared" si="5"/>
        <v>163436</v>
      </c>
      <c r="F44" s="76">
        <f t="shared" si="5"/>
        <v>2161.2100300000002</v>
      </c>
      <c r="G44" s="76">
        <f t="shared" si="5"/>
        <v>12461.957899999999</v>
      </c>
      <c r="H44" s="76">
        <f t="shared" si="5"/>
        <v>150974.04209999999</v>
      </c>
      <c r="I44" s="76">
        <f t="shared" si="5"/>
        <v>17823.480729999999</v>
      </c>
      <c r="J44" s="244"/>
    </row>
    <row r="45" spans="1:13" ht="14.1" customHeight="1" x14ac:dyDescent="0.25">
      <c r="A45" s="101"/>
      <c r="B45" s="24"/>
      <c r="C45" s="77" t="s">
        <v>132</v>
      </c>
      <c r="D45" s="258"/>
      <c r="E45" s="258"/>
      <c r="F45" s="80"/>
      <c r="G45" s="80"/>
      <c r="H45" s="228"/>
      <c r="I45" s="228"/>
      <c r="J45" s="81"/>
    </row>
    <row r="46" spans="1:13" ht="14.1" customHeight="1" x14ac:dyDescent="0.25">
      <c r="A46" s="101"/>
      <c r="B46" s="24"/>
      <c r="C46" s="82" t="s">
        <v>41</v>
      </c>
      <c r="D46" s="258"/>
      <c r="E46" s="258"/>
      <c r="F46" s="258"/>
      <c r="G46" s="80"/>
      <c r="H46" s="178"/>
      <c r="I46" s="178"/>
      <c r="J46" s="244"/>
    </row>
    <row r="47" spans="1:13" ht="14.1" customHeight="1" x14ac:dyDescent="0.25">
      <c r="A47" s="101"/>
      <c r="B47" s="24"/>
      <c r="C47" s="161" t="s">
        <v>127</v>
      </c>
      <c r="D47" s="258"/>
      <c r="E47" s="258"/>
      <c r="F47" s="258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133</v>
      </c>
      <c r="D48" s="258"/>
      <c r="E48" s="258"/>
      <c r="F48" s="258"/>
      <c r="G48" s="258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8"/>
      <c r="E49" s="258"/>
      <c r="F49" s="258"/>
      <c r="G49" s="258"/>
      <c r="H49" s="178"/>
      <c r="I49" s="178"/>
      <c r="J49" s="120"/>
    </row>
    <row r="50" spans="1:10" ht="14.1" customHeight="1" x14ac:dyDescent="0.25">
      <c r="A50" s="101"/>
      <c r="B50" s="24"/>
      <c r="C50" s="101"/>
      <c r="D50" s="258"/>
      <c r="E50" s="258"/>
      <c r="F50" s="258"/>
      <c r="G50" s="258"/>
      <c r="H50" s="178"/>
      <c r="I50" s="178"/>
      <c r="J50" s="120"/>
    </row>
    <row r="51" spans="1:10" ht="20.25" customHeight="1" x14ac:dyDescent="0.25">
      <c r="A51" s="101"/>
      <c r="B51" s="241"/>
      <c r="C51" s="272"/>
      <c r="D51" s="272"/>
      <c r="E51" s="109"/>
      <c r="F51" s="272"/>
      <c r="G51" s="272"/>
      <c r="H51" s="272"/>
      <c r="I51" s="272"/>
      <c r="J51" s="184"/>
    </row>
    <row r="52" spans="1:10" ht="33" customHeight="1" x14ac:dyDescent="0.25">
      <c r="A52" s="101"/>
      <c r="B52" s="24"/>
      <c r="C52" s="295" t="s">
        <v>43</v>
      </c>
      <c r="D52" s="295"/>
      <c r="E52" s="295"/>
      <c r="F52" s="295"/>
      <c r="G52" s="295"/>
      <c r="H52" s="295"/>
      <c r="I52" s="83"/>
      <c r="J52" s="84"/>
    </row>
    <row r="53" spans="1:10" ht="7.5" customHeight="1" x14ac:dyDescent="0.25">
      <c r="A53" s="101"/>
      <c r="B53" s="24"/>
      <c r="C53" s="161"/>
      <c r="D53" s="258"/>
      <c r="E53" s="258"/>
      <c r="F53" s="258"/>
      <c r="G53" s="258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123</v>
      </c>
      <c r="F54" s="68" t="s">
        <v>128</v>
      </c>
      <c r="G54" s="68" t="s">
        <v>129</v>
      </c>
      <c r="H54" s="68" t="s">
        <v>130</v>
      </c>
      <c r="I54" s="68" t="s">
        <v>131</v>
      </c>
      <c r="J54" s="244"/>
    </row>
    <row r="55" spans="1:10" ht="14.1" customHeight="1" x14ac:dyDescent="0.25">
      <c r="A55" s="101"/>
      <c r="B55" s="24"/>
      <c r="C55" s="16" t="s">
        <v>45</v>
      </c>
      <c r="D55" s="296">
        <v>7872</v>
      </c>
      <c r="E55" s="296">
        <v>7872</v>
      </c>
      <c r="F55" s="11">
        <f>F59+F58+F57+F56</f>
        <v>0</v>
      </c>
      <c r="G55" s="11">
        <f>G59+G58+G57+G56</f>
        <v>0</v>
      </c>
      <c r="H55" s="296">
        <f>E55-G55</f>
        <v>7872</v>
      </c>
      <c r="I55" s="11">
        <f>I59+I58+I57+I56</f>
        <v>0</v>
      </c>
      <c r="J55" s="120"/>
    </row>
    <row r="56" spans="1:10" ht="14.1" customHeight="1" x14ac:dyDescent="0.25">
      <c r="A56" s="101"/>
      <c r="B56" s="24"/>
      <c r="C56" s="62" t="s">
        <v>24</v>
      </c>
      <c r="D56" s="297"/>
      <c r="E56" s="297"/>
      <c r="F56" s="127"/>
      <c r="G56" s="127"/>
      <c r="H56" s="297"/>
      <c r="I56" s="127"/>
      <c r="J56" s="120"/>
    </row>
    <row r="57" spans="1:10" ht="14.1" customHeight="1" x14ac:dyDescent="0.25">
      <c r="A57" s="101"/>
      <c r="B57" s="24"/>
      <c r="C57" s="62" t="s">
        <v>25</v>
      </c>
      <c r="D57" s="297"/>
      <c r="E57" s="297"/>
      <c r="F57" s="127"/>
      <c r="G57" s="127"/>
      <c r="H57" s="297"/>
      <c r="I57" s="127"/>
      <c r="J57" s="244"/>
    </row>
    <row r="58" spans="1:10" ht="14.1" customHeight="1" x14ac:dyDescent="0.25">
      <c r="A58" s="101"/>
      <c r="B58" s="24"/>
      <c r="C58" s="62" t="s">
        <v>26</v>
      </c>
      <c r="D58" s="297"/>
      <c r="E58" s="297"/>
      <c r="F58" s="127"/>
      <c r="G58" s="127"/>
      <c r="H58" s="297"/>
      <c r="I58" s="127"/>
      <c r="J58" s="120"/>
    </row>
    <row r="59" spans="1:10" ht="14.1" customHeight="1" x14ac:dyDescent="0.25">
      <c r="A59" s="101"/>
      <c r="B59" s="24"/>
      <c r="C59" s="87" t="s">
        <v>27</v>
      </c>
      <c r="D59" s="298"/>
      <c r="E59" s="298"/>
      <c r="F59" s="192"/>
      <c r="G59" s="192"/>
      <c r="H59" s="298"/>
      <c r="I59" s="192"/>
      <c r="J59" s="120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>
        <v>960</v>
      </c>
      <c r="F60" s="95"/>
      <c r="G60" s="95"/>
      <c r="H60" s="95">
        <f>E60-G60</f>
        <v>960</v>
      </c>
      <c r="I60" s="95"/>
      <c r="J60" s="244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3000</v>
      </c>
      <c r="F61" s="139"/>
      <c r="G61" s="139"/>
      <c r="H61" s="139">
        <f>E61-G61</f>
        <v>3000</v>
      </c>
      <c r="I61" s="139"/>
      <c r="J61" s="120"/>
    </row>
    <row r="62" spans="1:10" ht="14.1" customHeight="1" x14ac:dyDescent="0.25">
      <c r="A62" s="101"/>
      <c r="B62" s="24"/>
      <c r="C62" s="77" t="s">
        <v>134</v>
      </c>
      <c r="D62" s="258"/>
      <c r="E62" s="258"/>
      <c r="F62" s="258"/>
      <c r="G62" s="258"/>
      <c r="H62" s="178"/>
      <c r="I62" s="178"/>
      <c r="J62" s="120"/>
    </row>
    <row r="63" spans="1:10" ht="14.1" customHeight="1" x14ac:dyDescent="0.2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5" customHeight="1" x14ac:dyDescent="0.25">
      <c r="A64" s="101"/>
      <c r="B64" s="24"/>
      <c r="C64" s="161"/>
      <c r="D64" s="258"/>
      <c r="E64" s="258"/>
      <c r="F64" s="258"/>
      <c r="G64" s="258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8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113</v>
      </c>
      <c r="C68" s="288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204" customHeight="1" x14ac:dyDescent="0.25"/>
    <row r="78" spans="1:10" ht="17.100000000000001" customHeight="1" x14ac:dyDescent="0.25">
      <c r="B78" s="2"/>
      <c r="C78" s="219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9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9" t="s">
        <v>1</v>
      </c>
      <c r="D81" s="300"/>
      <c r="E81" s="299" t="s">
        <v>2</v>
      </c>
      <c r="F81" s="301"/>
      <c r="G81" s="299" t="s">
        <v>3</v>
      </c>
      <c r="H81" s="300"/>
      <c r="I81" s="178"/>
      <c r="J81" s="244"/>
    </row>
    <row r="82" spans="1:10" ht="15" customHeight="1" x14ac:dyDescent="0.25">
      <c r="B82" s="254"/>
      <c r="C82" s="115" t="s">
        <v>6</v>
      </c>
      <c r="D82" s="117">
        <v>65468</v>
      </c>
      <c r="E82" s="259" t="s">
        <v>4</v>
      </c>
      <c r="F82" s="114">
        <v>24193</v>
      </c>
      <c r="G82" s="191" t="s">
        <v>5</v>
      </c>
      <c r="H82" s="114">
        <v>7105</v>
      </c>
      <c r="I82" s="178"/>
      <c r="J82" s="244"/>
    </row>
    <row r="83" spans="1:10" ht="15" customHeight="1" x14ac:dyDescent="0.25">
      <c r="B83" s="254"/>
      <c r="C83" s="115" t="s">
        <v>9</v>
      </c>
      <c r="D83" s="117">
        <v>56468</v>
      </c>
      <c r="E83" s="248" t="s">
        <v>7</v>
      </c>
      <c r="F83" s="117">
        <v>39474</v>
      </c>
      <c r="G83" s="191" t="s">
        <v>8</v>
      </c>
      <c r="H83" s="117">
        <v>29211</v>
      </c>
      <c r="I83" s="178"/>
      <c r="J83" s="244"/>
    </row>
    <row r="84" spans="1:10" ht="14.1" customHeight="1" x14ac:dyDescent="0.25">
      <c r="B84" s="254"/>
      <c r="C84" s="115" t="s">
        <v>74</v>
      </c>
      <c r="D84" s="117">
        <v>8064</v>
      </c>
      <c r="E84" s="115" t="s">
        <v>10</v>
      </c>
      <c r="F84" s="117">
        <v>1801</v>
      </c>
      <c r="G84" s="191" t="s">
        <v>11</v>
      </c>
      <c r="H84" s="117">
        <v>3158</v>
      </c>
      <c r="I84" s="178"/>
      <c r="J84" s="244"/>
    </row>
    <row r="85" spans="1:10" ht="12" customHeight="1" x14ac:dyDescent="0.25">
      <c r="B85" s="254"/>
      <c r="C85" s="177" t="s">
        <v>49</v>
      </c>
      <c r="D85" s="189">
        <f>SUM(D82:D84)</f>
        <v>130000</v>
      </c>
      <c r="E85" s="177" t="s">
        <v>14</v>
      </c>
      <c r="F85" s="189">
        <f>SUM(F82:F84)</f>
        <v>65468</v>
      </c>
      <c r="G85" s="177" t="s">
        <v>7</v>
      </c>
      <c r="H85" s="189">
        <f>SUM(H82:H84)</f>
        <v>39474</v>
      </c>
      <c r="I85" s="178"/>
      <c r="J85" s="244"/>
    </row>
    <row r="86" spans="1:10" ht="14.25" customHeight="1" x14ac:dyDescent="0.25">
      <c r="A86" s="1"/>
      <c r="B86" s="254"/>
      <c r="C86" s="101"/>
      <c r="D86" s="220"/>
      <c r="E86" s="220"/>
      <c r="F86" s="220"/>
      <c r="G86" s="220"/>
      <c r="H86" s="220"/>
      <c r="I86" s="236"/>
      <c r="J86" s="120"/>
    </row>
    <row r="87" spans="1:10" ht="6" customHeight="1" x14ac:dyDescent="0.25">
      <c r="A87" s="1"/>
      <c r="B87" s="254"/>
      <c r="C87" s="96"/>
      <c r="D87" s="96"/>
      <c r="E87" s="96"/>
      <c r="F87" s="96"/>
      <c r="G87" s="96"/>
      <c r="H87" s="96"/>
      <c r="I87" s="236"/>
      <c r="J87" s="120"/>
    </row>
    <row r="88" spans="1:10" ht="14.1" customHeight="1" x14ac:dyDescent="0.25">
      <c r="A88" s="1"/>
      <c r="B88" s="135"/>
      <c r="C88" s="272"/>
      <c r="D88" s="109"/>
      <c r="E88" s="272"/>
      <c r="F88" s="272"/>
      <c r="G88" s="272"/>
      <c r="H88" s="272"/>
      <c r="I88" s="261"/>
      <c r="J88" s="184"/>
    </row>
    <row r="89" spans="1:10" ht="20.25" customHeight="1" x14ac:dyDescent="0.25">
      <c r="A89" s="1"/>
      <c r="B89" s="254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4"/>
      <c r="C90" s="290"/>
      <c r="D90" s="290"/>
      <c r="E90" s="290"/>
      <c r="F90" s="290"/>
      <c r="G90" s="290"/>
      <c r="H90" s="290"/>
      <c r="I90" s="290"/>
      <c r="J90" s="19"/>
    </row>
    <row r="91" spans="1:10" ht="54" customHeight="1" x14ac:dyDescent="0.25">
      <c r="A91" s="1"/>
      <c r="B91" s="254"/>
      <c r="C91" s="15" t="s">
        <v>16</v>
      </c>
      <c r="D91" s="113" t="s">
        <v>17</v>
      </c>
      <c r="E91" s="15" t="s">
        <v>50</v>
      </c>
      <c r="F91" s="15" t="s">
        <v>128</v>
      </c>
      <c r="G91" s="15" t="s">
        <v>129</v>
      </c>
      <c r="H91" s="15" t="s">
        <v>130</v>
      </c>
      <c r="I91" s="15" t="s">
        <v>131</v>
      </c>
      <c r="J91" s="120"/>
    </row>
    <row r="92" spans="1:10" ht="14.1" customHeight="1" x14ac:dyDescent="0.25">
      <c r="A92" s="1"/>
      <c r="B92" s="254"/>
      <c r="C92" s="32" t="s">
        <v>19</v>
      </c>
      <c r="D92" s="28">
        <f>D93+D94</f>
        <v>24193</v>
      </c>
      <c r="E92" s="28">
        <f>E94+E93</f>
        <v>24193</v>
      </c>
      <c r="F92" s="11">
        <f t="shared" ref="F92:I92" si="6">F94+F93</f>
        <v>114.59936</v>
      </c>
      <c r="G92" s="11">
        <f t="shared" si="6"/>
        <v>372.49615999999997</v>
      </c>
      <c r="H92" s="11">
        <f t="shared" si="6"/>
        <v>23820.503839999998</v>
      </c>
      <c r="I92" s="11">
        <f t="shared" si="6"/>
        <v>273.57835</v>
      </c>
      <c r="J92" s="244"/>
    </row>
    <row r="93" spans="1:10" ht="15" customHeight="1" x14ac:dyDescent="0.25">
      <c r="A93" s="1"/>
      <c r="B93" s="254"/>
      <c r="C93" s="44" t="s">
        <v>20</v>
      </c>
      <c r="D93" s="45">
        <v>23443</v>
      </c>
      <c r="E93" s="45">
        <v>23443</v>
      </c>
      <c r="F93" s="23">
        <f>114.59936</f>
        <v>114.59936</v>
      </c>
      <c r="G93" s="23">
        <f>371.67996</f>
        <v>371.67995999999999</v>
      </c>
      <c r="H93" s="23">
        <f>E93-G93</f>
        <v>23071.320039999999</v>
      </c>
      <c r="I93" s="23">
        <f>270.60195</f>
        <v>270.60194999999999</v>
      </c>
      <c r="J93" s="244"/>
    </row>
    <row r="94" spans="1:10" ht="14.1" customHeight="1" x14ac:dyDescent="0.25">
      <c r="A94" s="1"/>
      <c r="B94" s="254"/>
      <c r="C94" s="64" t="s">
        <v>21</v>
      </c>
      <c r="D94" s="49">
        <v>750</v>
      </c>
      <c r="E94" s="49">
        <v>750</v>
      </c>
      <c r="F94" s="50">
        <f>0</f>
        <v>0</v>
      </c>
      <c r="G94" s="50">
        <f>0.8162</f>
        <v>0.81620000000000004</v>
      </c>
      <c r="H94" s="50">
        <f>E94-G94</f>
        <v>749.18380000000002</v>
      </c>
      <c r="I94" s="50">
        <f>2.9764</f>
        <v>2.9763999999999999</v>
      </c>
      <c r="J94" s="244"/>
    </row>
    <row r="95" spans="1:10" ht="15.75" customHeight="1" x14ac:dyDescent="0.25">
      <c r="A95" s="1"/>
      <c r="B95" s="52"/>
      <c r="C95" s="16" t="s">
        <v>22</v>
      </c>
      <c r="D95" s="28">
        <f>D96+D101+D102</f>
        <v>40606</v>
      </c>
      <c r="E95" s="28">
        <f>E96+E101+E102</f>
        <v>40606</v>
      </c>
      <c r="F95" s="11">
        <f t="shared" ref="F95:I95" si="7">F96+F101+F102</f>
        <v>632.53144999999995</v>
      </c>
      <c r="G95" s="11">
        <f t="shared" si="7"/>
        <v>1511.5714899999998</v>
      </c>
      <c r="H95" s="11">
        <f t="shared" si="7"/>
        <v>39094.428509999998</v>
      </c>
      <c r="I95" s="11">
        <f t="shared" si="7"/>
        <v>3856.8703999999998</v>
      </c>
      <c r="J95" s="244"/>
    </row>
    <row r="96" spans="1:10" ht="14.1" customHeight="1" x14ac:dyDescent="0.25">
      <c r="A96" s="1"/>
      <c r="B96" s="53"/>
      <c r="C96" s="56" t="s">
        <v>23</v>
      </c>
      <c r="D96" s="58">
        <f>D97+D98+D99+D100</f>
        <v>30343</v>
      </c>
      <c r="E96" s="58">
        <f>E100+E99+E98+E97</f>
        <v>30343</v>
      </c>
      <c r="F96" s="132">
        <f t="shared" ref="F96:I96" si="8">F97+F98+F99+F100</f>
        <v>515.02976999999998</v>
      </c>
      <c r="G96" s="132">
        <f t="shared" si="8"/>
        <v>1249.0638199999999</v>
      </c>
      <c r="H96" s="132">
        <f t="shared" si="8"/>
        <v>29093.936179999997</v>
      </c>
      <c r="I96" s="132">
        <f t="shared" si="8"/>
        <v>2033.8952299999999</v>
      </c>
      <c r="J96" s="244"/>
    </row>
    <row r="97" spans="1:10" ht="14.1" customHeight="1" x14ac:dyDescent="0.25">
      <c r="A97" s="197"/>
      <c r="B97" s="182"/>
      <c r="C97" s="62" t="s">
        <v>24</v>
      </c>
      <c r="D97" s="63">
        <v>8110</v>
      </c>
      <c r="E97" s="63">
        <v>8110</v>
      </c>
      <c r="F97" s="127">
        <f>299.75404</f>
        <v>299.75403999999997</v>
      </c>
      <c r="G97" s="127">
        <f>686.37125</f>
        <v>686.37125000000003</v>
      </c>
      <c r="H97" s="127">
        <f t="shared" ref="H97:H104" si="9">E97-G97</f>
        <v>7423.6287499999999</v>
      </c>
      <c r="I97" s="127">
        <f>959.79518</f>
        <v>959.79517999999996</v>
      </c>
      <c r="J97" s="244"/>
    </row>
    <row r="98" spans="1:10" ht="14.1" customHeight="1" x14ac:dyDescent="0.25">
      <c r="A98" s="197"/>
      <c r="B98" s="182"/>
      <c r="C98" s="62" t="s">
        <v>51</v>
      </c>
      <c r="D98" s="63">
        <v>8591</v>
      </c>
      <c r="E98" s="63">
        <v>8591</v>
      </c>
      <c r="F98" s="127">
        <f>135.54924</f>
        <v>135.54924</v>
      </c>
      <c r="G98" s="127">
        <f>386.03061</f>
        <v>386.03061000000002</v>
      </c>
      <c r="H98" s="127">
        <f t="shared" si="9"/>
        <v>8204.9693900000002</v>
      </c>
      <c r="I98" s="127">
        <f>830.7726</f>
        <v>830.77260000000001</v>
      </c>
      <c r="J98" s="244"/>
    </row>
    <row r="99" spans="1:10" ht="14.1" customHeight="1" x14ac:dyDescent="0.25">
      <c r="A99" s="197"/>
      <c r="B99" s="182"/>
      <c r="C99" s="62" t="s">
        <v>52</v>
      </c>
      <c r="D99" s="63">
        <v>8179</v>
      </c>
      <c r="E99" s="63">
        <v>8179</v>
      </c>
      <c r="F99" s="127">
        <f>41.61231</f>
        <v>41.612310000000001</v>
      </c>
      <c r="G99" s="127">
        <f>105.69959</f>
        <v>105.69959</v>
      </c>
      <c r="H99" s="127">
        <f t="shared" si="9"/>
        <v>8073.3004099999998</v>
      </c>
      <c r="I99" s="127">
        <f>159.52726</f>
        <v>159.52726000000001</v>
      </c>
      <c r="J99" s="244"/>
    </row>
    <row r="100" spans="1:10" ht="14.1" customHeight="1" x14ac:dyDescent="0.25">
      <c r="A100" s="197"/>
      <c r="B100" s="182"/>
      <c r="C100" s="62" t="s">
        <v>27</v>
      </c>
      <c r="D100" s="63">
        <v>5463</v>
      </c>
      <c r="E100" s="63">
        <v>5463</v>
      </c>
      <c r="F100" s="127">
        <f>38.11418</f>
        <v>38.114179999999998</v>
      </c>
      <c r="G100" s="127">
        <f>70.96237</f>
        <v>70.962370000000007</v>
      </c>
      <c r="H100" s="127">
        <f t="shared" si="9"/>
        <v>5392.0376299999998</v>
      </c>
      <c r="I100" s="127">
        <f>83.80019</f>
        <v>83.800190000000001</v>
      </c>
      <c r="J100" s="244"/>
    </row>
    <row r="101" spans="1:10" ht="14.1" customHeight="1" x14ac:dyDescent="0.25">
      <c r="A101" s="197"/>
      <c r="B101" s="182"/>
      <c r="C101" s="56" t="s">
        <v>53</v>
      </c>
      <c r="D101" s="58">
        <v>7105</v>
      </c>
      <c r="E101" s="58">
        <v>7105</v>
      </c>
      <c r="F101" s="132">
        <f>2.6676</f>
        <v>2.6676000000000002</v>
      </c>
      <c r="G101" s="132">
        <f>6.62306</f>
        <v>6.6230599999999997</v>
      </c>
      <c r="H101" s="132">
        <f t="shared" si="9"/>
        <v>7098.3769400000001</v>
      </c>
      <c r="I101" s="132">
        <f>1413.31218</f>
        <v>1413.3121799999999</v>
      </c>
      <c r="J101" s="244"/>
    </row>
    <row r="102" spans="1:10" ht="15.75" customHeight="1" x14ac:dyDescent="0.25">
      <c r="A102" s="1"/>
      <c r="B102" s="53"/>
      <c r="C102" s="38" t="s">
        <v>11</v>
      </c>
      <c r="D102" s="61">
        <v>3158</v>
      </c>
      <c r="E102" s="61">
        <v>3158</v>
      </c>
      <c r="F102" s="75">
        <f>114.83408</f>
        <v>114.83408</v>
      </c>
      <c r="G102" s="75">
        <f>255.88461</f>
        <v>255.88461000000001</v>
      </c>
      <c r="H102" s="75">
        <f t="shared" si="9"/>
        <v>2902.1153899999999</v>
      </c>
      <c r="I102" s="75">
        <f>409.66299</f>
        <v>409.66298999999998</v>
      </c>
      <c r="J102" s="244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0.09234</f>
        <v>9.2340000000000005E-2</v>
      </c>
      <c r="G103" s="98">
        <f>0.29864</f>
        <v>0.29864000000000002</v>
      </c>
      <c r="H103" s="98">
        <f t="shared" si="9"/>
        <v>318.70136000000002</v>
      </c>
      <c r="I103" s="98">
        <f>4.9722</f>
        <v>4.9722</v>
      </c>
      <c r="J103" s="244"/>
    </row>
    <row r="104" spans="1:10" ht="18" customHeight="1" x14ac:dyDescent="0.25">
      <c r="A104" s="1"/>
      <c r="B104" s="254"/>
      <c r="C104" s="73" t="s">
        <v>54</v>
      </c>
      <c r="D104" s="143">
        <v>300</v>
      </c>
      <c r="E104" s="143">
        <v>300</v>
      </c>
      <c r="F104" s="139">
        <f>0.70503</f>
        <v>0.70503000000000005</v>
      </c>
      <c r="G104" s="139">
        <f>E104</f>
        <v>300</v>
      </c>
      <c r="H104" s="139">
        <f t="shared" si="9"/>
        <v>0</v>
      </c>
      <c r="I104" s="139">
        <f>E104</f>
        <v>300</v>
      </c>
      <c r="J104" s="244"/>
    </row>
    <row r="105" spans="1:10" ht="16.5" customHeight="1" x14ac:dyDescent="0.25">
      <c r="A105" s="1"/>
      <c r="B105" s="254"/>
      <c r="C105" s="93" t="s">
        <v>38</v>
      </c>
      <c r="D105" s="143">
        <v>50</v>
      </c>
      <c r="E105" s="143">
        <v>50</v>
      </c>
      <c r="F105" s="98">
        <f>0.82084</f>
        <v>0.82084000000000001</v>
      </c>
      <c r="G105" s="98">
        <f>6.4548</f>
        <v>6.4547999999999996</v>
      </c>
      <c r="H105" s="139">
        <f>E105-G105</f>
        <v>43.545200000000001</v>
      </c>
      <c r="I105" s="98">
        <f>2.43866</f>
        <v>2.43866</v>
      </c>
      <c r="J105" s="244"/>
    </row>
    <row r="106" spans="1:10" ht="18" customHeight="1" x14ac:dyDescent="0.25">
      <c r="A106" s="1"/>
      <c r="B106" s="254"/>
      <c r="C106" s="93" t="s">
        <v>55</v>
      </c>
      <c r="D106" s="143"/>
      <c r="E106" s="139"/>
      <c r="F106" s="139">
        <f>0.35</f>
        <v>0.35</v>
      </c>
      <c r="G106" s="139">
        <f>0.71</f>
        <v>0.71</v>
      </c>
      <c r="H106" s="139">
        <f t="shared" ref="H106" si="10">E106-G106</f>
        <v>-0.71</v>
      </c>
      <c r="I106" s="139">
        <f>1.541</f>
        <v>1.5409999999999999</v>
      </c>
      <c r="J106" s="244"/>
    </row>
    <row r="107" spans="1:10" ht="16.5" customHeight="1" x14ac:dyDescent="0.25">
      <c r="A107" s="1"/>
      <c r="B107" s="254"/>
      <c r="C107" s="74" t="s">
        <v>40</v>
      </c>
      <c r="D107" s="76">
        <f>D92+D95+D103+D104+D105+D106</f>
        <v>65468</v>
      </c>
      <c r="E107" s="76">
        <f t="shared" ref="E107" si="11">E92+E95+E103+E104+E105+E106</f>
        <v>65468</v>
      </c>
      <c r="F107" s="76">
        <f t="shared" ref="F107:I107" si="12">F92+F95+F103+F104+F105+F106</f>
        <v>749.09902</v>
      </c>
      <c r="G107" s="76">
        <f t="shared" si="12"/>
        <v>2191.5310899999999</v>
      </c>
      <c r="H107" s="76">
        <f t="shared" si="12"/>
        <v>63276.468909999996</v>
      </c>
      <c r="I107" s="76">
        <f t="shared" si="12"/>
        <v>4439.4006099999997</v>
      </c>
      <c r="J107" s="244"/>
    </row>
    <row r="108" spans="1:10" ht="13.5" customHeight="1" x14ac:dyDescent="0.25">
      <c r="A108" s="1"/>
      <c r="B108" s="254"/>
      <c r="C108" s="77" t="s">
        <v>135</v>
      </c>
      <c r="D108" s="100"/>
      <c r="E108" s="100"/>
      <c r="F108" s="102"/>
      <c r="G108" s="102"/>
      <c r="H108" s="104"/>
      <c r="I108" s="228"/>
      <c r="J108" s="244"/>
    </row>
    <row r="109" spans="1:10" ht="13.5" customHeight="1" x14ac:dyDescent="0.25">
      <c r="A109" s="1"/>
      <c r="B109" s="24"/>
      <c r="C109" s="161" t="s">
        <v>125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25">
      <c r="A110" s="1"/>
      <c r="B110" s="24"/>
      <c r="C110" s="161" t="s">
        <v>136</v>
      </c>
      <c r="D110" s="258"/>
      <c r="E110" s="258"/>
      <c r="F110" s="80"/>
      <c r="G110" s="80"/>
      <c r="H110" s="228"/>
      <c r="I110" s="228"/>
      <c r="J110" s="105"/>
    </row>
    <row r="111" spans="1:10" ht="15" customHeight="1" x14ac:dyDescent="0.25">
      <c r="A111" s="1"/>
      <c r="B111" s="24"/>
      <c r="C111" s="228" t="s">
        <v>56</v>
      </c>
      <c r="D111" s="258"/>
      <c r="E111" s="258"/>
      <c r="F111" s="80"/>
      <c r="G111" s="80"/>
      <c r="H111" s="228"/>
      <c r="I111" s="228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113</v>
      </c>
      <c r="D113" s="228"/>
      <c r="E113" s="228"/>
      <c r="F113" s="228"/>
      <c r="G113" s="228"/>
      <c r="H113" s="228"/>
      <c r="I113" s="101"/>
      <c r="J113" s="101" t="s">
        <v>113</v>
      </c>
    </row>
    <row r="114" spans="1:10" ht="14.25" customHeight="1" x14ac:dyDescent="0.25">
      <c r="A114" s="1"/>
      <c r="B114" s="101"/>
      <c r="C114" s="101" t="s">
        <v>113</v>
      </c>
      <c r="D114" s="101" t="s">
        <v>113</v>
      </c>
      <c r="E114" s="101"/>
      <c r="F114" s="101"/>
      <c r="G114" s="101"/>
      <c r="H114" s="101"/>
      <c r="I114" s="101"/>
      <c r="J114" s="101" t="s">
        <v>113</v>
      </c>
    </row>
    <row r="115" spans="1:10" ht="17.100000000000001" customHeight="1" x14ac:dyDescent="0.25">
      <c r="A115" s="218"/>
      <c r="B115" s="218"/>
      <c r="C115" s="219" t="s">
        <v>57</v>
      </c>
      <c r="D115" s="218"/>
      <c r="E115" s="218"/>
      <c r="F115" s="218"/>
      <c r="G115" s="218"/>
      <c r="H115" s="218"/>
      <c r="I115" s="218"/>
      <c r="J115" s="218"/>
    </row>
    <row r="116" spans="1:10" ht="3" customHeight="1" x14ac:dyDescent="0.25">
      <c r="A116" s="218"/>
      <c r="B116" s="218"/>
      <c r="C116" s="219"/>
      <c r="D116" s="218"/>
      <c r="E116" s="218"/>
      <c r="F116" s="218"/>
      <c r="G116" s="218"/>
      <c r="H116" s="218"/>
      <c r="I116" s="218"/>
      <c r="J116" s="218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4"/>
    </row>
    <row r="119" spans="1:10" ht="14.1" customHeight="1" x14ac:dyDescent="0.25">
      <c r="A119" s="1"/>
      <c r="B119" s="254"/>
      <c r="C119" s="115" t="s">
        <v>6</v>
      </c>
      <c r="D119" s="114">
        <v>179367</v>
      </c>
      <c r="E119" s="99" t="s">
        <v>4</v>
      </c>
      <c r="F119" s="114">
        <v>64787</v>
      </c>
      <c r="G119" s="115" t="s">
        <v>5</v>
      </c>
      <c r="H119" s="114">
        <v>7319</v>
      </c>
      <c r="I119" s="178"/>
      <c r="J119" s="244"/>
    </row>
    <row r="120" spans="1:10" ht="14.1" customHeight="1" x14ac:dyDescent="0.25">
      <c r="A120" s="1"/>
      <c r="B120" s="254"/>
      <c r="C120" s="115" t="s">
        <v>9</v>
      </c>
      <c r="D120" s="117">
        <v>12100</v>
      </c>
      <c r="E120" s="115" t="s">
        <v>7</v>
      </c>
      <c r="F120" s="117">
        <v>66538</v>
      </c>
      <c r="G120" s="115" t="s">
        <v>8</v>
      </c>
      <c r="H120" s="117">
        <v>49904</v>
      </c>
      <c r="I120" s="178"/>
      <c r="J120" s="244"/>
    </row>
    <row r="121" spans="1:10" ht="14.1" customHeight="1" x14ac:dyDescent="0.25">
      <c r="A121" s="1"/>
      <c r="B121" s="254"/>
      <c r="C121" s="248" t="s">
        <v>58</v>
      </c>
      <c r="D121" s="117">
        <v>1650</v>
      </c>
      <c r="E121" s="115" t="s">
        <v>59</v>
      </c>
      <c r="F121" s="117">
        <v>43775</v>
      </c>
      <c r="G121" s="115" t="s">
        <v>11</v>
      </c>
      <c r="H121" s="117">
        <v>9315</v>
      </c>
      <c r="I121" s="178"/>
      <c r="J121" s="244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4267</v>
      </c>
      <c r="G122" s="115"/>
      <c r="H122" s="165"/>
      <c r="I122" s="178"/>
      <c r="J122" s="244"/>
    </row>
    <row r="123" spans="1:10" ht="12" customHeight="1" x14ac:dyDescent="0.25">
      <c r="A123" s="1"/>
      <c r="B123" s="254"/>
      <c r="C123" s="177" t="s">
        <v>49</v>
      </c>
      <c r="D123" s="213">
        <v>193117</v>
      </c>
      <c r="E123" s="112" t="s">
        <v>14</v>
      </c>
      <c r="F123" s="189">
        <v>179367</v>
      </c>
      <c r="G123" s="177" t="s">
        <v>7</v>
      </c>
      <c r="H123" s="189">
        <v>66538</v>
      </c>
      <c r="I123" s="178"/>
      <c r="J123" s="244"/>
    </row>
    <row r="124" spans="1:10" ht="12" customHeight="1" x14ac:dyDescent="0.25">
      <c r="A124" s="101"/>
      <c r="B124" s="24"/>
      <c r="C124" s="101" t="s">
        <v>137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1"/>
      <c r="C125" s="272"/>
      <c r="D125" s="272"/>
      <c r="E125" s="233"/>
      <c r="F125" s="233"/>
      <c r="G125" s="233"/>
      <c r="H125" s="233"/>
      <c r="I125" s="233"/>
      <c r="J125" s="245"/>
    </row>
    <row r="126" spans="1:10" ht="25.5" customHeight="1" x14ac:dyDescent="0.25">
      <c r="A126" s="1"/>
      <c r="B126" s="254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4" t="s">
        <v>16</v>
      </c>
      <c r="D127" s="15" t="s">
        <v>17</v>
      </c>
      <c r="E127" s="15" t="s">
        <v>61</v>
      </c>
      <c r="F127" s="15" t="s">
        <v>128</v>
      </c>
      <c r="G127" s="15" t="s">
        <v>129</v>
      </c>
      <c r="H127" s="15" t="s">
        <v>130</v>
      </c>
      <c r="I127" s="15" t="s">
        <v>131</v>
      </c>
      <c r="J127" s="280"/>
    </row>
    <row r="128" spans="1:10" ht="14.1" customHeight="1" x14ac:dyDescent="0.25">
      <c r="A128" s="1"/>
      <c r="B128" s="254"/>
      <c r="C128" s="16" t="s">
        <v>62</v>
      </c>
      <c r="D128" s="28">
        <f>D129+D130+D131</f>
        <v>64787</v>
      </c>
      <c r="E128" s="28">
        <f>E129+E130+E131</f>
        <v>64787</v>
      </c>
      <c r="F128" s="11">
        <f t="shared" ref="F128:I128" si="13">F129+F130+F131</f>
        <v>217.37684000000002</v>
      </c>
      <c r="G128" s="11">
        <f t="shared" si="13"/>
        <v>723.58727999999996</v>
      </c>
      <c r="H128" s="11">
        <f t="shared" si="13"/>
        <v>64063.412719999993</v>
      </c>
      <c r="I128" s="11">
        <f t="shared" si="13"/>
        <v>2520.04079</v>
      </c>
      <c r="J128" s="244"/>
    </row>
    <row r="129" spans="1:10" ht="14.1" customHeight="1" x14ac:dyDescent="0.25">
      <c r="A129" s="1"/>
      <c r="B129" s="254"/>
      <c r="C129" s="44" t="s">
        <v>20</v>
      </c>
      <c r="D129" s="45">
        <v>51830</v>
      </c>
      <c r="E129" s="45">
        <v>51830</v>
      </c>
      <c r="F129" s="23">
        <f>189.00684</f>
        <v>189.00684000000001</v>
      </c>
      <c r="G129" s="23">
        <f>686.55778</f>
        <v>686.55777999999998</v>
      </c>
      <c r="H129" s="23">
        <f>E129-G129</f>
        <v>51143.442219999997</v>
      </c>
      <c r="I129" s="23">
        <f>2187.86929</f>
        <v>2187.8692900000001</v>
      </c>
      <c r="J129" s="244"/>
    </row>
    <row r="130" spans="1:10" ht="15" customHeight="1" x14ac:dyDescent="0.25">
      <c r="A130" s="1"/>
      <c r="B130" s="254"/>
      <c r="C130" s="44" t="s">
        <v>21</v>
      </c>
      <c r="D130" s="45">
        <v>12457</v>
      </c>
      <c r="E130" s="45">
        <v>12457</v>
      </c>
      <c r="F130" s="23">
        <f>0</f>
        <v>0</v>
      </c>
      <c r="G130" s="23">
        <f>3.2265</f>
        <v>3.2265000000000001</v>
      </c>
      <c r="H130" s="23">
        <f>E130-G130</f>
        <v>12453.773499999999</v>
      </c>
      <c r="I130" s="23">
        <f>300.7125</f>
        <v>300.71249999999998</v>
      </c>
      <c r="J130" s="244"/>
    </row>
    <row r="131" spans="1:10" ht="13.5" customHeight="1" x14ac:dyDescent="0.25">
      <c r="A131" s="1"/>
      <c r="B131" s="254"/>
      <c r="C131" s="48" t="s">
        <v>63</v>
      </c>
      <c r="D131" s="33">
        <v>500</v>
      </c>
      <c r="E131" s="33">
        <v>500</v>
      </c>
      <c r="F131" s="23">
        <f>28.37</f>
        <v>28.37</v>
      </c>
      <c r="G131" s="23">
        <f>33.803</f>
        <v>33.802999999999997</v>
      </c>
      <c r="H131" s="55">
        <f>E131-G131</f>
        <v>466.197</v>
      </c>
      <c r="I131" s="23">
        <f>31.459</f>
        <v>31.459</v>
      </c>
      <c r="J131" s="244"/>
    </row>
    <row r="132" spans="1:10" ht="14.25" customHeight="1" x14ac:dyDescent="0.25">
      <c r="A132" s="67"/>
      <c r="B132" s="78"/>
      <c r="C132" s="88" t="s">
        <v>64</v>
      </c>
      <c r="D132" s="91">
        <v>43775</v>
      </c>
      <c r="E132" s="91">
        <v>43775</v>
      </c>
      <c r="F132" s="95">
        <f>2.939</f>
        <v>2.9390000000000001</v>
      </c>
      <c r="G132" s="95">
        <f>22.654</f>
        <v>22.654</v>
      </c>
      <c r="H132" s="95">
        <f>E132-G132</f>
        <v>43752.345999999998</v>
      </c>
      <c r="I132" s="95">
        <f>16.308</f>
        <v>16.308</v>
      </c>
      <c r="J132" s="116"/>
    </row>
    <row r="133" spans="1:10" ht="15.75" customHeight="1" x14ac:dyDescent="0.25">
      <c r="A133" s="1"/>
      <c r="B133" s="254"/>
      <c r="C133" s="142" t="s">
        <v>22</v>
      </c>
      <c r="D133" s="143">
        <f>D134+D139+D142</f>
        <v>67996</v>
      </c>
      <c r="E133" s="143">
        <f>E134+E139+E142</f>
        <v>67996</v>
      </c>
      <c r="F133" s="94">
        <f>F134+F139+F142</f>
        <v>2757.54432</v>
      </c>
      <c r="G133" s="94">
        <f t="shared" ref="G133" si="14">G134+G139+G142</f>
        <v>7108.0562100000006</v>
      </c>
      <c r="H133" s="94">
        <f>H134+H139+H142</f>
        <v>60887.943790000005</v>
      </c>
      <c r="I133" s="94">
        <f>I134+I139+I142</f>
        <v>10968.26721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51362</v>
      </c>
      <c r="E134" s="122">
        <f>E135+E136+E137+E138</f>
        <v>51362</v>
      </c>
      <c r="F134" s="125">
        <f>F135+F136+F137+F138</f>
        <v>2210.5240199999998</v>
      </c>
      <c r="G134" s="125">
        <f>G135+G136+G138+G137</f>
        <v>6132.1299000000008</v>
      </c>
      <c r="H134" s="125">
        <f>H135+H136+H137+H138</f>
        <v>45229.8701</v>
      </c>
      <c r="I134" s="125">
        <f>I135+I136+I137+I138</f>
        <v>8766.6949399999994</v>
      </c>
      <c r="J134" s="280"/>
    </row>
    <row r="135" spans="1:10" ht="14.1" customHeight="1" x14ac:dyDescent="0.25">
      <c r="A135" s="197"/>
      <c r="B135" s="126"/>
      <c r="C135" s="62" t="s">
        <v>24</v>
      </c>
      <c r="D135" s="63">
        <v>13661</v>
      </c>
      <c r="E135" s="63">
        <v>13661</v>
      </c>
      <c r="F135" s="127">
        <f>545.15565</f>
        <v>545.15565000000004</v>
      </c>
      <c r="G135" s="127">
        <f>1554.19048</f>
        <v>1554.19048</v>
      </c>
      <c r="H135" s="127">
        <f>E135-G135</f>
        <v>12106.809520000001</v>
      </c>
      <c r="I135" s="127">
        <f>2173.10607</f>
        <v>2173.1060699999998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14094</v>
      </c>
      <c r="E136" s="63">
        <v>14094</v>
      </c>
      <c r="F136" s="127">
        <f>718.38244</f>
        <v>718.38243999999997</v>
      </c>
      <c r="G136" s="127">
        <f>2046.40829</f>
        <v>2046.4082900000001</v>
      </c>
      <c r="H136" s="127">
        <f>E136-G136</f>
        <v>12047.591710000001</v>
      </c>
      <c r="I136" s="127">
        <f>3143.63821</f>
        <v>3143.6382100000001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12169</v>
      </c>
      <c r="E137" s="63">
        <v>12169</v>
      </c>
      <c r="F137" s="127">
        <f>561.43163</f>
        <v>561.43163000000004</v>
      </c>
      <c r="G137" s="127">
        <f>1436.03495</f>
        <v>1436.03495</v>
      </c>
      <c r="H137" s="127">
        <f>E137-G137</f>
        <v>10732.965050000001</v>
      </c>
      <c r="I137" s="127">
        <f>1832.84159</f>
        <v>1832.84159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11438</v>
      </c>
      <c r="E138" s="63">
        <v>11438</v>
      </c>
      <c r="F138" s="127">
        <f>385.5543</f>
        <v>385.55430000000001</v>
      </c>
      <c r="G138" s="127">
        <f>1095.49618</f>
        <v>1095.4961800000001</v>
      </c>
      <c r="H138" s="127">
        <f>E138-G138</f>
        <v>10342.50382</v>
      </c>
      <c r="I138" s="127">
        <f>1617.10907</f>
        <v>1617.10907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7319</v>
      </c>
      <c r="E139" s="58">
        <f>E140+E141</f>
        <v>7319</v>
      </c>
      <c r="F139" s="132">
        <f>SUM(F140:F141)</f>
        <v>328.61264999999997</v>
      </c>
      <c r="G139" s="132">
        <f>SUM(G140:G141)</f>
        <v>431.01707999999996</v>
      </c>
      <c r="H139" s="132">
        <f>H140+H141</f>
        <v>6887.9829200000004</v>
      </c>
      <c r="I139" s="132">
        <f>SUM(I140:I141)</f>
        <v>1459.5660800000001</v>
      </c>
      <c r="J139" s="133"/>
    </row>
    <row r="140" spans="1:10" ht="14.1" customHeight="1" x14ac:dyDescent="0.25">
      <c r="A140" s="1"/>
      <c r="B140" s="254"/>
      <c r="C140" s="62" t="s">
        <v>66</v>
      </c>
      <c r="D140" s="63">
        <v>6819</v>
      </c>
      <c r="E140" s="63">
        <v>6819</v>
      </c>
      <c r="F140" s="127">
        <f>315.96945</f>
        <v>315.96944999999999</v>
      </c>
      <c r="G140" s="127">
        <f>408.96468</f>
        <v>408.96467999999999</v>
      </c>
      <c r="H140" s="127">
        <f t="shared" ref="H140:H148" si="15">E140-G140</f>
        <v>6410.03532</v>
      </c>
      <c r="I140" s="127">
        <f>1422.15906</f>
        <v>1422.15906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12.6432</f>
        <v>12.6432</v>
      </c>
      <c r="G141" s="127">
        <f>22.0524</f>
        <v>22.052399999999999</v>
      </c>
      <c r="H141" s="127">
        <f t="shared" si="15"/>
        <v>477.94760000000002</v>
      </c>
      <c r="I141" s="127">
        <f>37.40702</f>
        <v>37.407020000000003</v>
      </c>
      <c r="J141" s="134"/>
    </row>
    <row r="142" spans="1:10" ht="15.75" customHeight="1" x14ac:dyDescent="0.25">
      <c r="A142" s="1"/>
      <c r="B142" s="254"/>
      <c r="C142" s="38" t="s">
        <v>11</v>
      </c>
      <c r="D142" s="61">
        <v>9315</v>
      </c>
      <c r="E142" s="61">
        <v>9315</v>
      </c>
      <c r="F142" s="75">
        <f>218.40765</f>
        <v>218.40764999999999</v>
      </c>
      <c r="G142" s="75">
        <f>544.90923</f>
        <v>544.90922999999998</v>
      </c>
      <c r="H142" s="75">
        <f t="shared" si="15"/>
        <v>8770.0907700000007</v>
      </c>
      <c r="I142" s="75">
        <f>742.00619</f>
        <v>742.00618999999995</v>
      </c>
      <c r="J142" s="120"/>
    </row>
    <row r="143" spans="1:10" ht="15.75" customHeight="1" x14ac:dyDescent="0.25">
      <c r="A143" s="1"/>
      <c r="B143" s="254"/>
      <c r="C143" s="142" t="s">
        <v>34</v>
      </c>
      <c r="D143" s="143">
        <v>146</v>
      </c>
      <c r="E143" s="143">
        <v>146</v>
      </c>
      <c r="F143" s="139">
        <f>0.76815</f>
        <v>0.76815</v>
      </c>
      <c r="G143" s="139">
        <f>1.8336</f>
        <v>1.8335999999999999</v>
      </c>
      <c r="H143" s="139">
        <f t="shared" si="15"/>
        <v>144.16640000000001</v>
      </c>
      <c r="I143" s="139">
        <f>0.64045</f>
        <v>0.64044999999999996</v>
      </c>
      <c r="J143" s="120"/>
    </row>
    <row r="144" spans="1:10" ht="15.75" customHeight="1" x14ac:dyDescent="0.25">
      <c r="A144" s="1"/>
      <c r="B144" s="254"/>
      <c r="C144" s="140" t="s">
        <v>68</v>
      </c>
      <c r="D144" s="89">
        <v>350</v>
      </c>
      <c r="E144" s="89">
        <v>350</v>
      </c>
      <c r="F144" s="98">
        <f>0</f>
        <v>0</v>
      </c>
      <c r="G144" s="98">
        <f>0</f>
        <v>0</v>
      </c>
      <c r="H144" s="98">
        <f t="shared" si="15"/>
        <v>350</v>
      </c>
      <c r="I144" s="98">
        <f>0</f>
        <v>0</v>
      </c>
      <c r="J144" s="120"/>
    </row>
    <row r="145" spans="1:10" ht="18" customHeight="1" x14ac:dyDescent="0.25">
      <c r="A145" s="1"/>
      <c r="B145" s="254"/>
      <c r="C145" s="140" t="s">
        <v>69</v>
      </c>
      <c r="D145" s="143">
        <v>2000</v>
      </c>
      <c r="E145" s="143">
        <v>2000</v>
      </c>
      <c r="F145" s="139">
        <f>3.01941</f>
        <v>3.0194100000000001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4"/>
    </row>
    <row r="146" spans="1:10" ht="15.75" customHeight="1" x14ac:dyDescent="0.25">
      <c r="A146" s="1"/>
      <c r="B146" s="254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4"/>
      <c r="C147" s="142" t="s">
        <v>70</v>
      </c>
      <c r="D147" s="143">
        <v>313</v>
      </c>
      <c r="E147" s="143">
        <v>313</v>
      </c>
      <c r="F147" s="98">
        <f>4.4824</f>
        <v>4.4824000000000002</v>
      </c>
      <c r="G147" s="98">
        <f>7.21095</f>
        <v>7.2109500000000004</v>
      </c>
      <c r="H147" s="139">
        <f t="shared" si="15"/>
        <v>305.78904999999997</v>
      </c>
      <c r="I147" s="98">
        <f>4.54765</f>
        <v>4.54765</v>
      </c>
      <c r="J147" s="120"/>
    </row>
    <row r="148" spans="1:10" ht="15" customHeight="1" x14ac:dyDescent="0.25">
      <c r="A148" s="1"/>
      <c r="B148" s="254"/>
      <c r="C148" s="142" t="s">
        <v>39</v>
      </c>
      <c r="D148" s="145"/>
      <c r="E148" s="143"/>
      <c r="F148" s="139">
        <f>1.479</f>
        <v>1.4790000000000001</v>
      </c>
      <c r="G148" s="139">
        <f>40.14</f>
        <v>40.14</v>
      </c>
      <c r="H148" s="139">
        <f t="shared" si="15"/>
        <v>-40.14</v>
      </c>
      <c r="I148" s="139">
        <f>33.408</f>
        <v>33.408000000000001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179367</v>
      </c>
      <c r="E150" s="76">
        <f t="shared" si="16"/>
        <v>179367</v>
      </c>
      <c r="F150" s="76">
        <f>F128+F132+F133+F143+F144+F145+F146+F147+F148</f>
        <v>2987.6091199999996</v>
      </c>
      <c r="G150" s="76">
        <f>G128+G132+G133+G143+G144+G145+G146+G147+G148</f>
        <v>9903.4820400000008</v>
      </c>
      <c r="H150" s="76">
        <f>H128+H132+H133+H143+H144+H145+H146+H147+H148</f>
        <v>169463.51795999994</v>
      </c>
      <c r="I150" s="76">
        <f>I128+I132+I133+I143+I144+I145+I146+I147+I148</f>
        <v>15543.212100000001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292" t="s">
        <v>145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25">
      <c r="A153" s="156"/>
      <c r="B153" s="52"/>
      <c r="C153" s="161" t="s">
        <v>138</v>
      </c>
      <c r="D153" s="119"/>
      <c r="E153" s="119"/>
      <c r="F153" s="119"/>
      <c r="G153" s="119"/>
      <c r="H153" s="163"/>
      <c r="I153" s="156"/>
      <c r="J153" s="280"/>
    </row>
    <row r="154" spans="1:10" ht="14.25" customHeight="1" x14ac:dyDescent="0.25">
      <c r="A154" s="156"/>
      <c r="B154" s="52"/>
      <c r="C154" s="77" t="s">
        <v>126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80"/>
    </row>
    <row r="156" spans="1:10" ht="15.75" customHeight="1" x14ac:dyDescent="0.25">
      <c r="A156" s="156"/>
      <c r="B156" s="52"/>
      <c r="C156" s="77" t="s">
        <v>139</v>
      </c>
      <c r="D156" s="119"/>
      <c r="E156" s="119"/>
      <c r="F156" s="119"/>
      <c r="G156" s="119"/>
      <c r="H156" s="163"/>
      <c r="I156" s="163"/>
      <c r="J156" s="280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113</v>
      </c>
      <c r="B162" s="2"/>
      <c r="C162" s="219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9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113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113</v>
      </c>
      <c r="B165" s="254"/>
      <c r="C165" s="149" t="s">
        <v>1</v>
      </c>
      <c r="D165" s="185"/>
      <c r="E165" s="281"/>
      <c r="F165" s="281"/>
      <c r="G165" s="281"/>
      <c r="H165" s="1"/>
      <c r="I165" s="1"/>
      <c r="J165" s="120"/>
    </row>
    <row r="166" spans="1:10" ht="14.1" customHeight="1" x14ac:dyDescent="0.25">
      <c r="A166" s="1"/>
      <c r="B166" s="254"/>
      <c r="C166" s="177" t="s">
        <v>6</v>
      </c>
      <c r="D166" s="189">
        <v>9675</v>
      </c>
      <c r="E166" s="281"/>
      <c r="F166" s="281"/>
      <c r="G166" s="281"/>
      <c r="H166" s="1"/>
      <c r="I166" s="1"/>
      <c r="J166" s="120"/>
    </row>
    <row r="167" spans="1:10" ht="14.1" customHeight="1" x14ac:dyDescent="0.25">
      <c r="A167" s="1"/>
      <c r="B167" s="254"/>
      <c r="C167" s="177" t="s">
        <v>9</v>
      </c>
      <c r="D167" s="189">
        <v>8625</v>
      </c>
      <c r="E167" s="281"/>
      <c r="F167" s="281"/>
      <c r="G167" s="235"/>
      <c r="H167" s="1"/>
      <c r="I167" s="1"/>
      <c r="J167" s="120"/>
    </row>
    <row r="168" spans="1:10" ht="14.1" customHeight="1" x14ac:dyDescent="0.25">
      <c r="A168" s="1"/>
      <c r="B168" s="254"/>
      <c r="C168" s="177" t="s">
        <v>74</v>
      </c>
      <c r="D168" s="189">
        <v>700</v>
      </c>
      <c r="E168" s="281"/>
      <c r="F168" s="281"/>
      <c r="G168" s="281"/>
      <c r="H168" s="1"/>
      <c r="I168" s="1"/>
      <c r="J168" s="120"/>
    </row>
    <row r="169" spans="1:10" ht="14.1" customHeight="1" x14ac:dyDescent="0.25">
      <c r="A169" s="1"/>
      <c r="B169" s="254"/>
      <c r="C169" s="177" t="s">
        <v>49</v>
      </c>
      <c r="D169" s="189">
        <v>19000</v>
      </c>
      <c r="E169" s="281"/>
      <c r="F169" s="281"/>
      <c r="G169" s="281"/>
      <c r="H169" s="1"/>
      <c r="I169" s="1"/>
      <c r="J169" s="120"/>
    </row>
    <row r="170" spans="1:10" ht="14.1" customHeight="1" x14ac:dyDescent="0.25">
      <c r="A170" s="1"/>
      <c r="B170" s="254"/>
      <c r="C170" s="1"/>
      <c r="D170" s="47"/>
      <c r="E170" s="281"/>
      <c r="F170" s="281"/>
      <c r="G170" s="281"/>
      <c r="H170" s="1"/>
      <c r="I170" s="1"/>
      <c r="J170" s="120"/>
    </row>
    <row r="171" spans="1:10" ht="3.75" customHeight="1" x14ac:dyDescent="0.25">
      <c r="A171" s="1"/>
      <c r="B171" s="241"/>
      <c r="C171" s="159"/>
      <c r="D171" s="159"/>
      <c r="E171" s="267"/>
      <c r="F171" s="267"/>
      <c r="G171" s="267"/>
      <c r="H171" s="233"/>
      <c r="I171" s="233"/>
      <c r="J171" s="245"/>
    </row>
    <row r="172" spans="1:10" ht="24.75" customHeight="1" x14ac:dyDescent="0.25">
      <c r="A172" s="1"/>
      <c r="B172" s="254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4"/>
      <c r="D173" s="224"/>
      <c r="E173" s="224"/>
      <c r="F173" s="224"/>
      <c r="G173" s="224"/>
      <c r="H173" s="224"/>
      <c r="I173" s="224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128</v>
      </c>
      <c r="F174" s="15" t="s">
        <v>129</v>
      </c>
      <c r="G174" s="54" t="s">
        <v>130</v>
      </c>
      <c r="H174" s="15" t="s">
        <v>131</v>
      </c>
      <c r="I174" s="156"/>
      <c r="J174" s="280"/>
    </row>
    <row r="175" spans="1:10" ht="14.1" customHeight="1" x14ac:dyDescent="0.25">
      <c r="A175" s="1"/>
      <c r="B175" s="254"/>
      <c r="C175" s="141" t="s">
        <v>75</v>
      </c>
      <c r="D175" s="94">
        <v>3762</v>
      </c>
      <c r="E175" s="276">
        <f>19.11157</f>
        <v>19.11157</v>
      </c>
      <c r="F175" s="276">
        <f>91.12551</f>
        <v>91.125510000000006</v>
      </c>
      <c r="G175" s="43">
        <f>D175-F175-F176</f>
        <v>3670.8744900000002</v>
      </c>
      <c r="H175" s="276">
        <f>69.47072</f>
        <v>69.47072</v>
      </c>
      <c r="I175" s="1"/>
      <c r="J175" s="120"/>
    </row>
    <row r="176" spans="1:10" ht="14.1" customHeight="1" x14ac:dyDescent="0.25">
      <c r="A176" s="1"/>
      <c r="B176" s="254"/>
      <c r="C176" s="137" t="s">
        <v>53</v>
      </c>
      <c r="D176" s="181"/>
      <c r="E176" s="152">
        <f>0</f>
        <v>0</v>
      </c>
      <c r="F176" s="152">
        <f>0</f>
        <v>0</v>
      </c>
      <c r="G176" s="217"/>
      <c r="H176" s="152">
        <f>70.93176</f>
        <v>70.931759999999997</v>
      </c>
      <c r="I176" s="1"/>
      <c r="J176" s="120"/>
    </row>
    <row r="177" spans="1:10" ht="15.6" customHeight="1" x14ac:dyDescent="0.25">
      <c r="A177" s="1"/>
      <c r="B177" s="254"/>
      <c r="C177" s="169" t="s">
        <v>76</v>
      </c>
      <c r="D177" s="98">
        <v>200</v>
      </c>
      <c r="E177" s="172">
        <f>0</f>
        <v>0</v>
      </c>
      <c r="F177" s="172">
        <f>0</f>
        <v>0</v>
      </c>
      <c r="G177" s="172">
        <f>D177-F177</f>
        <v>200</v>
      </c>
      <c r="H177" s="172">
        <f>0.14802</f>
        <v>0.14802000000000001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5642</v>
      </c>
      <c r="E178" s="181">
        <f>E179+E180+E181</f>
        <v>2.0622599999999998</v>
      </c>
      <c r="F178" s="181">
        <f>F179+F180+F181</f>
        <v>5.9695400000000003</v>
      </c>
      <c r="G178" s="181">
        <f>D178-F178</f>
        <v>5636.0304599999999</v>
      </c>
      <c r="H178" s="181">
        <f>H179+H180+H181</f>
        <v>1.07572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2.038</f>
        <v>2.0379999999999998</v>
      </c>
      <c r="F179" s="127">
        <f>2.0964</f>
        <v>2.0964</v>
      </c>
      <c r="G179" s="127"/>
      <c r="H179" s="127">
        <f>0.07708</f>
        <v>7.7079999999999996E-2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0</f>
        <v>0</v>
      </c>
      <c r="F180" s="127">
        <f>0.9704</f>
        <v>0.97040000000000004</v>
      </c>
      <c r="G180" s="127"/>
      <c r="H180" s="127">
        <f>0.04364</f>
        <v>4.3639999999999998E-2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0.02426</f>
        <v>2.426E-2</v>
      </c>
      <c r="F181" s="192">
        <f>2.90274</f>
        <v>2.9027400000000001</v>
      </c>
      <c r="G181" s="192"/>
      <c r="H181" s="192">
        <f>0.955</f>
        <v>0.95499999999999996</v>
      </c>
      <c r="I181" s="186"/>
      <c r="J181" s="187"/>
    </row>
    <row r="182" spans="1:10" ht="14.1" customHeight="1" x14ac:dyDescent="0.25">
      <c r="A182" s="1"/>
      <c r="B182" s="254"/>
      <c r="C182" s="73" t="s">
        <v>81</v>
      </c>
      <c r="D182" s="139">
        <v>71</v>
      </c>
      <c r="E182" s="139">
        <f>0</f>
        <v>0</v>
      </c>
      <c r="F182" s="139">
        <f>0</f>
        <v>0</v>
      </c>
      <c r="G182" s="139">
        <f>D182-F182</f>
        <v>71</v>
      </c>
      <c r="H182" s="139">
        <f>0</f>
        <v>0</v>
      </c>
      <c r="I182" s="178"/>
      <c r="J182" s="244"/>
    </row>
    <row r="183" spans="1:10" ht="16.5" customHeight="1" x14ac:dyDescent="0.25">
      <c r="A183" s="1"/>
      <c r="B183" s="254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4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9675</v>
      </c>
      <c r="E184" s="194">
        <f>E175+E176+E177+E178+E182+E183</f>
        <v>21.173829999999999</v>
      </c>
      <c r="F184" s="194">
        <f>F175+F176+F177+F178+F182+F183</f>
        <v>97.095050000000001</v>
      </c>
      <c r="G184" s="194">
        <f>D184-F184</f>
        <v>9577.9049500000001</v>
      </c>
      <c r="H184" s="194">
        <f>H175+H176+H177+H178+H182+H183</f>
        <v>141.62621999999999</v>
      </c>
      <c r="I184" s="163"/>
      <c r="J184" s="160"/>
    </row>
    <row r="185" spans="1:10" ht="42" customHeight="1" x14ac:dyDescent="0.25">
      <c r="A185" s="1"/>
      <c r="B185" s="198"/>
      <c r="C185" s="227" t="s">
        <v>140</v>
      </c>
      <c r="D185" s="227"/>
      <c r="E185" s="227"/>
      <c r="F185" s="227"/>
      <c r="G185" s="227"/>
      <c r="H185" s="224"/>
      <c r="I185" s="224"/>
      <c r="J185" s="13"/>
    </row>
    <row r="186" spans="1:10" ht="12" customHeight="1" x14ac:dyDescent="0.25">
      <c r="A186" s="156" t="s">
        <v>113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113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5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113</v>
      </c>
      <c r="B190" s="1"/>
      <c r="C190" s="215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6"/>
      <c r="D191" s="237"/>
      <c r="E191" s="237"/>
      <c r="F191" s="237"/>
      <c r="G191" s="237"/>
      <c r="H191" s="154"/>
      <c r="I191" s="154"/>
      <c r="J191" s="162"/>
    </row>
    <row r="192" spans="1:10" ht="15" customHeight="1" x14ac:dyDescent="0.25">
      <c r="A192" s="150"/>
      <c r="B192" s="254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4"/>
      <c r="C193" s="259" t="s">
        <v>84</v>
      </c>
      <c r="D193" s="270">
        <v>44278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4"/>
      <c r="C194" s="248" t="s">
        <v>85</v>
      </c>
      <c r="D194" s="46">
        <v>15194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4"/>
      <c r="C195" s="248" t="s">
        <v>86</v>
      </c>
      <c r="D195" s="46">
        <v>6719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4"/>
      <c r="C196" s="57" t="s">
        <v>49</v>
      </c>
      <c r="D196" s="35">
        <v>67191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4"/>
      <c r="C197" s="101" t="s">
        <v>117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4"/>
      <c r="C198" s="101" t="s">
        <v>141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4"/>
      <c r="C199" s="101" t="s">
        <v>142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1"/>
      <c r="C200" s="267"/>
      <c r="D200" s="159"/>
      <c r="E200" s="159"/>
      <c r="F200" s="267"/>
      <c r="G200" s="267"/>
      <c r="H200" s="267"/>
      <c r="I200" s="233"/>
      <c r="J200" s="245"/>
    </row>
    <row r="201" spans="1:10" ht="23.25" customHeight="1" x14ac:dyDescent="0.25">
      <c r="A201" s="1"/>
      <c r="B201" s="254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4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4"/>
      <c r="C203" s="68" t="s">
        <v>16</v>
      </c>
      <c r="D203" s="79" t="s">
        <v>2</v>
      </c>
      <c r="E203" s="68" t="s">
        <v>128</v>
      </c>
      <c r="F203" s="68" t="s">
        <v>129</v>
      </c>
      <c r="G203" s="68" t="s">
        <v>130</v>
      </c>
      <c r="H203" s="68" t="s">
        <v>131</v>
      </c>
      <c r="I203" s="1"/>
      <c r="J203" s="120"/>
    </row>
    <row r="204" spans="1:10" ht="15" customHeight="1" x14ac:dyDescent="0.25">
      <c r="A204" s="1"/>
      <c r="B204" s="254"/>
      <c r="C204" s="90" t="s">
        <v>4</v>
      </c>
      <c r="D204" s="124">
        <v>44142</v>
      </c>
      <c r="E204" s="124">
        <f>1933.84296</f>
        <v>1933.8429599999999</v>
      </c>
      <c r="F204" s="124">
        <f>5288.32644</f>
        <v>5288.3264399999998</v>
      </c>
      <c r="G204" s="124">
        <f>D204-F204</f>
        <v>38853.673560000003</v>
      </c>
      <c r="H204" s="124">
        <f>4644.38255</f>
        <v>4644.3825500000003</v>
      </c>
      <c r="I204" s="248"/>
      <c r="J204" s="120"/>
    </row>
    <row r="205" spans="1:10" ht="15" customHeight="1" x14ac:dyDescent="0.25">
      <c r="A205" s="1"/>
      <c r="B205" s="254"/>
      <c r="C205" s="90" t="s">
        <v>67</v>
      </c>
      <c r="D205" s="124">
        <v>100</v>
      </c>
      <c r="E205" s="124">
        <f>0.21364</f>
        <v>0.21364</v>
      </c>
      <c r="F205" s="124">
        <f>0.47824</f>
        <v>0.47824</v>
      </c>
      <c r="G205" s="124">
        <f>D205-F205</f>
        <v>99.52176</v>
      </c>
      <c r="H205" s="124">
        <f>0.46822</f>
        <v>0.46822000000000003</v>
      </c>
      <c r="I205" s="248"/>
      <c r="J205" s="120"/>
    </row>
    <row r="206" spans="1:10" ht="15.75" customHeight="1" x14ac:dyDescent="0.25">
      <c r="A206" s="1"/>
      <c r="B206" s="254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8"/>
      <c r="J206" s="120"/>
    </row>
    <row r="207" spans="1:10" ht="16.5" customHeight="1" x14ac:dyDescent="0.25">
      <c r="A207" s="1"/>
      <c r="B207" s="254"/>
      <c r="C207" s="179" t="s">
        <v>87</v>
      </c>
      <c r="D207" s="190">
        <f>SUM(D204:D206)</f>
        <v>44278</v>
      </c>
      <c r="E207" s="190">
        <f>SUM(E204:E206)</f>
        <v>1934.0565999999999</v>
      </c>
      <c r="F207" s="190">
        <f>SUM(F204:F206)</f>
        <v>5288.8046800000002</v>
      </c>
      <c r="G207" s="190">
        <f>D207-F207</f>
        <v>38989.195319999999</v>
      </c>
      <c r="H207" s="190">
        <f>SUM(H204:H206)</f>
        <v>4644.85077</v>
      </c>
      <c r="I207" s="248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6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113</v>
      </c>
      <c r="B242" s="1"/>
      <c r="C242" s="1"/>
      <c r="D242" s="1"/>
      <c r="E242" s="1"/>
      <c r="F242" s="1"/>
      <c r="G242" s="1"/>
      <c r="H242" s="1"/>
      <c r="I242" s="1"/>
      <c r="J242" s="218"/>
    </row>
    <row r="243" spans="1:10" ht="21.75" customHeight="1" x14ac:dyDescent="0.35">
      <c r="A243" s="150"/>
      <c r="B243" s="1"/>
      <c r="C243" s="215" t="s">
        <v>114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113</v>
      </c>
      <c r="B244" s="1"/>
      <c r="C244" s="215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6"/>
      <c r="D245" s="237"/>
      <c r="E245" s="237"/>
      <c r="F245" s="237"/>
      <c r="G245" s="237"/>
      <c r="H245" s="154"/>
      <c r="I245" s="154"/>
      <c r="J245" s="162"/>
    </row>
    <row r="246" spans="1:10" ht="23.25" customHeight="1" x14ac:dyDescent="0.25">
      <c r="A246" s="1"/>
      <c r="B246" s="254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4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4"/>
      <c r="C248" s="68" t="s">
        <v>16</v>
      </c>
      <c r="D248" s="79" t="s">
        <v>2</v>
      </c>
      <c r="E248" s="68" t="s">
        <v>128</v>
      </c>
      <c r="F248" s="68" t="s">
        <v>129</v>
      </c>
      <c r="G248" s="68" t="s">
        <v>130</v>
      </c>
      <c r="H248" s="68" t="s">
        <v>131</v>
      </c>
      <c r="I248" s="1"/>
      <c r="J248" s="120"/>
    </row>
    <row r="249" spans="1:10" ht="15" customHeight="1" x14ac:dyDescent="0.25">
      <c r="A249" s="1"/>
      <c r="B249" s="254"/>
      <c r="C249" s="90" t="s">
        <v>118</v>
      </c>
      <c r="D249" s="124">
        <v>3987</v>
      </c>
      <c r="E249" s="75">
        <f>E250+E251</f>
        <v>18.240400000000001</v>
      </c>
      <c r="F249" s="75">
        <f>F250+F251</f>
        <v>27.813649999999999</v>
      </c>
      <c r="G249" s="75">
        <f>D249-F249</f>
        <v>3959.1863499999999</v>
      </c>
      <c r="H249" s="75">
        <f>H250+H251</f>
        <v>259.82616000000002</v>
      </c>
      <c r="I249" s="248"/>
      <c r="J249" s="120"/>
    </row>
    <row r="250" spans="1:10" ht="15" customHeight="1" x14ac:dyDescent="0.25">
      <c r="A250" s="1"/>
      <c r="B250" s="254"/>
      <c r="C250" s="177" t="s">
        <v>8</v>
      </c>
      <c r="D250" s="124"/>
      <c r="E250" s="75">
        <f>7.7726</f>
        <v>7.7725999999999997</v>
      </c>
      <c r="F250" s="75">
        <f>10.02372</f>
        <v>10.023720000000001</v>
      </c>
      <c r="G250" s="75"/>
      <c r="H250" s="75">
        <f>230.74472</f>
        <v>230.74472</v>
      </c>
      <c r="I250" s="248"/>
      <c r="J250" s="120"/>
    </row>
    <row r="251" spans="1:10" ht="15" customHeight="1" x14ac:dyDescent="0.25">
      <c r="A251" s="1"/>
      <c r="B251" s="254"/>
      <c r="C251" s="177" t="s">
        <v>67</v>
      </c>
      <c r="D251" s="124"/>
      <c r="E251" s="124">
        <f>10.4678</f>
        <v>10.4678</v>
      </c>
      <c r="F251" s="124">
        <f>17.78993</f>
        <v>17.789929999999998</v>
      </c>
      <c r="G251" s="168"/>
      <c r="H251" s="124">
        <f>29.08144</f>
        <v>29.081440000000001</v>
      </c>
      <c r="I251" s="248"/>
      <c r="J251" s="120"/>
    </row>
    <row r="252" spans="1:10" ht="15" customHeight="1" x14ac:dyDescent="0.25">
      <c r="A252" s="1"/>
      <c r="B252" s="254"/>
      <c r="C252" s="90" t="s">
        <v>119</v>
      </c>
      <c r="D252" s="124">
        <v>4613</v>
      </c>
      <c r="E252" s="75">
        <f>100.29734</f>
        <v>100.29734000000001</v>
      </c>
      <c r="F252" s="75">
        <f>231.09516</f>
        <v>231.09515999999999</v>
      </c>
      <c r="G252" s="75">
        <f>D252-F252</f>
        <v>4381.9048400000001</v>
      </c>
      <c r="H252" s="75">
        <f>328.06937</f>
        <v>328.06936999999999</v>
      </c>
      <c r="I252" s="248"/>
      <c r="J252" s="120"/>
    </row>
    <row r="253" spans="1:10" ht="16.5" customHeight="1" x14ac:dyDescent="0.25">
      <c r="A253" s="1"/>
      <c r="B253" s="254"/>
      <c r="C253" s="179" t="s">
        <v>87</v>
      </c>
      <c r="D253" s="190">
        <f>D252+D249</f>
        <v>8600</v>
      </c>
      <c r="E253" s="190">
        <f>SUM(E249,E252)</f>
        <v>118.53774000000001</v>
      </c>
      <c r="F253" s="190">
        <f>SUM(F249,F252)</f>
        <v>258.90881000000002</v>
      </c>
      <c r="G253" s="190">
        <f>D253-F253</f>
        <v>8341.0911899999992</v>
      </c>
      <c r="H253" s="190">
        <f>SUM(H249,H252)</f>
        <v>587.89553000000001</v>
      </c>
      <c r="I253" s="248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6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113</v>
      </c>
      <c r="B288" s="1"/>
      <c r="C288" s="1"/>
      <c r="D288" s="1"/>
      <c r="E288" s="1"/>
      <c r="F288" s="1"/>
      <c r="G288" s="1"/>
      <c r="H288" s="1"/>
      <c r="I288" s="1"/>
      <c r="J288" s="218"/>
    </row>
    <row r="289" spans="1:10" ht="21.75" customHeight="1" x14ac:dyDescent="0.35">
      <c r="A289" s="150"/>
      <c r="B289" s="1"/>
      <c r="C289" s="215" t="s">
        <v>115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113</v>
      </c>
      <c r="B290" s="1"/>
      <c r="C290" s="215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6"/>
      <c r="D291" s="237"/>
      <c r="E291" s="237"/>
      <c r="F291" s="237"/>
      <c r="G291" s="237"/>
      <c r="H291" s="154"/>
      <c r="I291" s="154"/>
      <c r="J291" s="162"/>
    </row>
    <row r="292" spans="1:10" ht="23.25" customHeight="1" x14ac:dyDescent="0.25">
      <c r="A292" s="1"/>
      <c r="B292" s="254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4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4"/>
      <c r="C294" s="68" t="s">
        <v>16</v>
      </c>
      <c r="D294" s="79" t="s">
        <v>2</v>
      </c>
      <c r="E294" s="68" t="s">
        <v>128</v>
      </c>
      <c r="F294" s="68" t="s">
        <v>129</v>
      </c>
      <c r="G294" s="68" t="s">
        <v>130</v>
      </c>
      <c r="H294" s="68" t="s">
        <v>131</v>
      </c>
      <c r="I294" s="1"/>
      <c r="J294" s="120"/>
    </row>
    <row r="295" spans="1:10" ht="15" customHeight="1" x14ac:dyDescent="0.25">
      <c r="A295" s="1"/>
      <c r="B295" s="254"/>
      <c r="C295" s="90" t="s">
        <v>118</v>
      </c>
      <c r="D295" s="124">
        <v>5090</v>
      </c>
      <c r="E295" s="75">
        <f>E296+E297</f>
        <v>15.437660000000001</v>
      </c>
      <c r="F295" s="75">
        <f>F296+F297</f>
        <v>27.065860000000001</v>
      </c>
      <c r="G295" s="75">
        <f>D295-F295</f>
        <v>5062.9341400000003</v>
      </c>
      <c r="H295" s="75">
        <f>H296+H297</f>
        <v>183.60893999999999</v>
      </c>
      <c r="I295" s="248"/>
      <c r="J295" s="120"/>
    </row>
    <row r="296" spans="1:10" ht="15" customHeight="1" x14ac:dyDescent="0.25">
      <c r="A296" s="1"/>
      <c r="B296" s="254"/>
      <c r="C296" s="177" t="s">
        <v>8</v>
      </c>
      <c r="D296" s="124"/>
      <c r="E296" s="75">
        <f>11.0852</f>
        <v>11.0852</v>
      </c>
      <c r="F296" s="75">
        <f>18.0838</f>
        <v>18.0838</v>
      </c>
      <c r="G296" s="75"/>
      <c r="H296" s="75">
        <f>168.16136</f>
        <v>168.16136</v>
      </c>
      <c r="I296" s="248"/>
      <c r="J296" s="120"/>
    </row>
    <row r="297" spans="1:10" ht="15" customHeight="1" x14ac:dyDescent="0.25">
      <c r="A297" s="1"/>
      <c r="B297" s="254"/>
      <c r="C297" s="177" t="s">
        <v>67</v>
      </c>
      <c r="D297" s="124"/>
      <c r="E297" s="124">
        <f>4.35246</f>
        <v>4.3524599999999998</v>
      </c>
      <c r="F297" s="124">
        <f>8.98206</f>
        <v>8.9820600000000006</v>
      </c>
      <c r="G297" s="168"/>
      <c r="H297" s="124">
        <f>15.44758</f>
        <v>15.44758</v>
      </c>
      <c r="I297" s="248"/>
      <c r="J297" s="120"/>
    </row>
    <row r="298" spans="1:10" ht="15" customHeight="1" x14ac:dyDescent="0.25">
      <c r="A298" s="1"/>
      <c r="B298" s="254"/>
      <c r="C298" s="90" t="s">
        <v>119</v>
      </c>
      <c r="D298" s="124">
        <v>2981</v>
      </c>
      <c r="E298" s="75">
        <f>112.88998</f>
        <v>112.88997999999999</v>
      </c>
      <c r="F298" s="75">
        <f>284.0422</f>
        <v>284.04219999999998</v>
      </c>
      <c r="G298" s="75">
        <f>D298-F298</f>
        <v>2696.9578000000001</v>
      </c>
      <c r="H298" s="75">
        <f>295.68666</f>
        <v>295.68666000000002</v>
      </c>
      <c r="I298" s="248"/>
      <c r="J298" s="120"/>
    </row>
    <row r="299" spans="1:10" ht="16.5" customHeight="1" x14ac:dyDescent="0.25">
      <c r="A299" s="1"/>
      <c r="B299" s="254"/>
      <c r="C299" s="179" t="s">
        <v>87</v>
      </c>
      <c r="D299" s="190">
        <f>D298+D295</f>
        <v>8071</v>
      </c>
      <c r="E299" s="190">
        <f>SUM(E295,E298)</f>
        <v>128.32764</v>
      </c>
      <c r="F299" s="190">
        <f>SUM(F295,F298)</f>
        <v>311.10805999999997</v>
      </c>
      <c r="G299" s="190">
        <f>D299-F299</f>
        <v>7759.8919400000004</v>
      </c>
      <c r="H299" s="190">
        <f>SUM(H295,H298)</f>
        <v>479.29560000000004</v>
      </c>
      <c r="I299" s="248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6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113</v>
      </c>
      <c r="B334" s="1"/>
      <c r="C334" s="1"/>
      <c r="D334" s="1"/>
      <c r="E334" s="1"/>
      <c r="F334" s="1"/>
      <c r="G334" s="1"/>
      <c r="H334" s="1"/>
      <c r="I334" s="1"/>
      <c r="J334" s="218"/>
    </row>
    <row r="335" spans="1:10" ht="30" customHeight="1" x14ac:dyDescent="0.25">
      <c r="A335" s="218"/>
      <c r="B335" s="218"/>
      <c r="C335" s="219" t="s">
        <v>89</v>
      </c>
      <c r="D335" s="218"/>
      <c r="E335" s="218"/>
      <c r="F335" s="218"/>
      <c r="G335" s="218"/>
      <c r="H335" s="218"/>
      <c r="I335" s="218"/>
      <c r="J335" s="224"/>
    </row>
    <row r="336" spans="1:10" ht="30" customHeight="1" x14ac:dyDescent="0.25">
      <c r="A336" s="218" t="s">
        <v>113</v>
      </c>
      <c r="B336" s="218"/>
      <c r="C336" s="219"/>
      <c r="D336" s="218"/>
      <c r="E336" s="218"/>
      <c r="F336" s="218"/>
      <c r="G336" s="218"/>
      <c r="H336" s="218"/>
      <c r="I336" s="218"/>
      <c r="J336" s="224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4"/>
      <c r="C339" s="259" t="s">
        <v>84</v>
      </c>
      <c r="D339" s="270">
        <v>3003</v>
      </c>
      <c r="E339" s="150"/>
      <c r="F339" s="225"/>
      <c r="G339" s="1"/>
      <c r="H339" s="1"/>
      <c r="I339" s="1"/>
      <c r="J339" s="120"/>
    </row>
    <row r="340" spans="1:10" ht="14.1" customHeight="1" x14ac:dyDescent="0.25">
      <c r="A340" s="1"/>
      <c r="B340" s="254"/>
      <c r="C340" s="248" t="s">
        <v>90</v>
      </c>
      <c r="D340" s="46">
        <v>9419</v>
      </c>
      <c r="E340" s="150"/>
      <c r="F340" s="225"/>
      <c r="G340" s="1"/>
      <c r="H340" s="1"/>
      <c r="I340" s="1"/>
      <c r="J340" s="120"/>
    </row>
    <row r="341" spans="1:10" ht="14.1" customHeight="1" x14ac:dyDescent="0.25">
      <c r="A341" s="1"/>
      <c r="B341" s="254"/>
      <c r="C341" s="248" t="s">
        <v>91</v>
      </c>
      <c r="D341" s="46">
        <v>7106</v>
      </c>
      <c r="E341" s="150"/>
      <c r="F341" s="225"/>
      <c r="G341" s="1"/>
      <c r="H341" s="1"/>
      <c r="I341" s="1"/>
      <c r="J341" s="120"/>
    </row>
    <row r="342" spans="1:10" ht="13.5" customHeight="1" x14ac:dyDescent="0.25">
      <c r="A342" s="1"/>
      <c r="B342" s="254"/>
      <c r="C342" s="248" t="s">
        <v>120</v>
      </c>
      <c r="D342" s="46">
        <v>382</v>
      </c>
      <c r="E342" s="150"/>
      <c r="F342" s="225"/>
      <c r="G342" s="1"/>
      <c r="H342" s="1"/>
      <c r="I342" s="1"/>
      <c r="J342" s="120"/>
    </row>
    <row r="343" spans="1:10" ht="14.25" customHeight="1" x14ac:dyDescent="0.25">
      <c r="A343" s="1"/>
      <c r="B343" s="254"/>
      <c r="C343" s="57" t="s">
        <v>49</v>
      </c>
      <c r="D343" s="35">
        <f>SUM(D339:D342)</f>
        <v>19910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4"/>
      <c r="C344" s="228" t="s">
        <v>92</v>
      </c>
      <c r="D344" s="229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4"/>
      <c r="C345" s="101" t="s">
        <v>102</v>
      </c>
      <c r="D345" s="230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4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1"/>
      <c r="C347" s="234" t="s">
        <v>15</v>
      </c>
      <c r="D347" s="234"/>
      <c r="E347" s="234"/>
      <c r="F347" s="234"/>
      <c r="G347" s="234"/>
      <c r="H347" s="234"/>
      <c r="I347" s="234"/>
      <c r="J347" s="238"/>
    </row>
    <row r="348" spans="1:10" ht="14.1" customHeight="1" x14ac:dyDescent="0.25">
      <c r="A348" s="1"/>
      <c r="B348" s="240"/>
      <c r="C348" s="242"/>
      <c r="D348" s="242"/>
      <c r="E348" s="242"/>
      <c r="F348" s="242"/>
      <c r="G348" s="242"/>
      <c r="H348" s="242"/>
      <c r="I348" s="242"/>
      <c r="J348" s="120"/>
    </row>
    <row r="349" spans="1:10" ht="54" customHeight="1" x14ac:dyDescent="0.25">
      <c r="A349" s="1"/>
      <c r="B349" s="254"/>
      <c r="C349" s="68" t="s">
        <v>16</v>
      </c>
      <c r="D349" s="243" t="s">
        <v>2</v>
      </c>
      <c r="E349" s="68" t="s">
        <v>128</v>
      </c>
      <c r="F349" s="68" t="s">
        <v>129</v>
      </c>
      <c r="G349" s="68" t="s">
        <v>130</v>
      </c>
      <c r="H349" s="68" t="s">
        <v>131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12.67795</f>
        <v>12.677949999999999</v>
      </c>
      <c r="F350" s="124">
        <f>34.32248</f>
        <v>34.322479999999999</v>
      </c>
      <c r="G350" s="124">
        <f>D350-F350</f>
        <v>765.67751999999996</v>
      </c>
      <c r="H350" s="124">
        <f>29.72245</f>
        <v>29.722449999999998</v>
      </c>
      <c r="I350" s="67"/>
      <c r="J350" s="244"/>
    </row>
    <row r="351" spans="1:10" ht="14.1" customHeight="1" x14ac:dyDescent="0.25">
      <c r="A351" s="1"/>
      <c r="B351" s="254"/>
      <c r="C351" s="90" t="s">
        <v>94</v>
      </c>
      <c r="D351" s="246">
        <v>2193</v>
      </c>
      <c r="E351" s="124">
        <f>13.78569</f>
        <v>13.785690000000001</v>
      </c>
      <c r="F351" s="124">
        <f>81.15731</f>
        <v>81.157309999999995</v>
      </c>
      <c r="G351" s="124">
        <f>D351-F351</f>
        <v>2111.8426899999999</v>
      </c>
      <c r="H351" s="124">
        <f>135.82019</f>
        <v>135.82019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6">
        <v>10</v>
      </c>
      <c r="E352" s="168">
        <f>0</f>
        <v>0</v>
      </c>
      <c r="F352" s="168">
        <f>0</f>
        <v>0</v>
      </c>
      <c r="G352" s="124">
        <f>D352-F352</f>
        <v>10</v>
      </c>
      <c r="H352" s="168">
        <f>0</f>
        <v>0</v>
      </c>
      <c r="I352" s="67"/>
      <c r="J352" s="249"/>
    </row>
    <row r="353" spans="1:10" ht="18.75" customHeight="1" x14ac:dyDescent="0.25">
      <c r="A353" s="67"/>
      <c r="B353" s="250"/>
      <c r="C353" s="146" t="s">
        <v>95</v>
      </c>
      <c r="D353" s="222"/>
      <c r="E353" s="168">
        <f>0</f>
        <v>0</v>
      </c>
      <c r="F353" s="168">
        <f>0</f>
        <v>0</v>
      </c>
      <c r="G353" s="124">
        <f>D353-F353</f>
        <v>0</v>
      </c>
      <c r="H353" s="168">
        <f>0</f>
        <v>0</v>
      </c>
      <c r="I353" s="284"/>
      <c r="J353" s="120"/>
    </row>
    <row r="354" spans="1:10" ht="14.1" customHeight="1" x14ac:dyDescent="0.25">
      <c r="A354" s="1"/>
      <c r="B354" s="254"/>
      <c r="C354" s="179" t="s">
        <v>87</v>
      </c>
      <c r="D354" s="6">
        <f>D339</f>
        <v>3003</v>
      </c>
      <c r="E354" s="190">
        <f>SUM(E350:E353)</f>
        <v>26.463639999999998</v>
      </c>
      <c r="F354" s="190">
        <f>SUM(F350:F353)</f>
        <v>115.47978999999999</v>
      </c>
      <c r="G354" s="190">
        <f>D354-F354</f>
        <v>2887.5202100000001</v>
      </c>
      <c r="H354" s="190">
        <f>H350+H351+H352+H353</f>
        <v>165.54264000000001</v>
      </c>
      <c r="I354" s="1"/>
      <c r="J354" s="120"/>
    </row>
    <row r="355" spans="1:10" ht="14.1" customHeight="1" x14ac:dyDescent="0.25">
      <c r="A355" s="1"/>
      <c r="B355" s="254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113</v>
      </c>
    </row>
    <row r="358" spans="1:10" ht="14.1" customHeight="1" x14ac:dyDescent="0.25">
      <c r="A358" s="1" t="s">
        <v>113</v>
      </c>
    </row>
    <row r="359" spans="1:10" ht="14.1" customHeight="1" x14ac:dyDescent="0.25">
      <c r="A359" s="1" t="s">
        <v>113</v>
      </c>
    </row>
    <row r="360" spans="1:10" ht="14.1" customHeight="1" x14ac:dyDescent="0.25">
      <c r="A360" s="1"/>
      <c r="C360" s="150" t="s">
        <v>113</v>
      </c>
    </row>
    <row r="361" spans="1:10" x14ac:dyDescent="0.25">
      <c r="A361" s="1"/>
      <c r="C361" s="150" t="s">
        <v>113</v>
      </c>
    </row>
    <row r="362" spans="1:10" ht="14.1" customHeight="1" x14ac:dyDescent="0.25">
      <c r="A362" s="1"/>
      <c r="C362" s="150" t="s">
        <v>113</v>
      </c>
    </row>
    <row r="363" spans="1:10" ht="14.1" customHeight="1" x14ac:dyDescent="0.25">
      <c r="A363" s="1"/>
      <c r="C363" s="150" t="s">
        <v>113</v>
      </c>
    </row>
    <row r="364" spans="1:10" ht="30" customHeight="1" x14ac:dyDescent="0.35">
      <c r="A364" s="218"/>
      <c r="B364" s="1"/>
      <c r="C364" s="215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9"/>
      <c r="D365" s="239"/>
      <c r="E365" s="239"/>
      <c r="F365" s="239"/>
      <c r="G365" s="239"/>
      <c r="H365" s="239"/>
      <c r="I365" s="239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9" t="s">
        <v>84</v>
      </c>
      <c r="D368" s="270">
        <f>37252+1500-880</f>
        <v>37872</v>
      </c>
      <c r="E368" s="252" t="s">
        <v>4</v>
      </c>
      <c r="F368" s="103">
        <v>24359</v>
      </c>
      <c r="G368" s="248" t="s">
        <v>20</v>
      </c>
      <c r="H368" s="46">
        <v>14132</v>
      </c>
      <c r="I368" s="150"/>
      <c r="J368" s="130"/>
    </row>
    <row r="369" spans="1:10" ht="14.25" customHeight="1" x14ac:dyDescent="0.25">
      <c r="B369" s="72"/>
      <c r="C369" s="248" t="s">
        <v>91</v>
      </c>
      <c r="D369" s="46">
        <f>25446+880-1500</f>
        <v>24826</v>
      </c>
      <c r="E369" s="178" t="s">
        <v>94</v>
      </c>
      <c r="F369" s="47">
        <v>8000</v>
      </c>
      <c r="G369" s="248" t="s">
        <v>21</v>
      </c>
      <c r="H369" s="46">
        <v>3678</v>
      </c>
      <c r="I369" s="150"/>
      <c r="J369" s="130"/>
    </row>
    <row r="370" spans="1:10" ht="14.25" customHeight="1" x14ac:dyDescent="0.25">
      <c r="B370" s="72"/>
      <c r="C370" s="248" t="s">
        <v>90</v>
      </c>
      <c r="D370" s="46">
        <v>8940</v>
      </c>
      <c r="E370" s="178" t="s">
        <v>59</v>
      </c>
      <c r="F370" s="47">
        <v>5500</v>
      </c>
      <c r="G370" s="248" t="s">
        <v>99</v>
      </c>
      <c r="H370" s="46">
        <v>5043</v>
      </c>
      <c r="I370" s="150"/>
      <c r="J370" s="130"/>
    </row>
    <row r="371" spans="1:10" ht="14.1" customHeight="1" x14ac:dyDescent="0.25">
      <c r="B371" s="72"/>
      <c r="C371" s="248"/>
      <c r="D371" s="46"/>
      <c r="E371" s="131"/>
      <c r="F371" s="144"/>
      <c r="G371" s="248" t="s">
        <v>100</v>
      </c>
      <c r="H371" s="46">
        <v>1506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71638</v>
      </c>
      <c r="E372" s="173" t="s">
        <v>101</v>
      </c>
      <c r="F372" s="35">
        <f>F368+F369+F370</f>
        <v>37859</v>
      </c>
      <c r="G372" s="57" t="s">
        <v>4</v>
      </c>
      <c r="H372" s="35">
        <f>SUM(H368:H371)</f>
        <v>24359</v>
      </c>
      <c r="I372" s="150"/>
      <c r="J372" s="130"/>
    </row>
    <row r="373" spans="1:10" ht="13.35" customHeight="1" x14ac:dyDescent="0.25">
      <c r="B373" s="72"/>
      <c r="C373" s="211" t="s">
        <v>143</v>
      </c>
      <c r="D373" s="178"/>
      <c r="E373" s="178"/>
      <c r="F373" s="178"/>
      <c r="G373" s="1"/>
      <c r="H373" s="178"/>
      <c r="I373" s="178"/>
      <c r="J373" s="244"/>
    </row>
    <row r="374" spans="1:10" ht="13.35" customHeight="1" x14ac:dyDescent="0.25">
      <c r="B374" s="72"/>
      <c r="C374" s="212" t="s">
        <v>121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1"/>
      <c r="C377" s="234" t="s">
        <v>15</v>
      </c>
      <c r="D377" s="234"/>
      <c r="E377" s="234"/>
      <c r="F377" s="234"/>
      <c r="G377" s="234"/>
      <c r="H377" s="234"/>
      <c r="I377" s="234"/>
      <c r="J377" s="238"/>
    </row>
    <row r="378" spans="1:10" ht="18.75" customHeight="1" x14ac:dyDescent="0.25">
      <c r="B378" s="198"/>
      <c r="C378" s="224"/>
      <c r="D378" s="224"/>
      <c r="E378" s="224"/>
      <c r="F378" s="224"/>
      <c r="G378" s="224"/>
      <c r="H378" s="224"/>
      <c r="I378" s="224"/>
      <c r="J378" s="13"/>
    </row>
    <row r="379" spans="1:10" ht="64.5" customHeight="1" x14ac:dyDescent="0.25">
      <c r="B379" s="72"/>
      <c r="C379" s="223" t="s">
        <v>16</v>
      </c>
      <c r="D379" s="232" t="s">
        <v>17</v>
      </c>
      <c r="E379" s="68" t="s">
        <v>148</v>
      </c>
      <c r="F379" s="223" t="s">
        <v>128</v>
      </c>
      <c r="G379" s="223" t="s">
        <v>129</v>
      </c>
      <c r="H379" s="223" t="s">
        <v>130</v>
      </c>
      <c r="I379" s="223" t="s">
        <v>131</v>
      </c>
      <c r="J379" s="130"/>
    </row>
    <row r="380" spans="1:10" ht="14.1" customHeight="1" x14ac:dyDescent="0.25">
      <c r="A380" s="218"/>
      <c r="B380" s="72"/>
      <c r="C380" s="247" t="s">
        <v>19</v>
      </c>
      <c r="D380" s="251">
        <f t="shared" ref="D380:E380" si="17">D384+D383+D382+D381</f>
        <v>24359</v>
      </c>
      <c r="E380" s="251">
        <f t="shared" si="17"/>
        <v>24359</v>
      </c>
      <c r="F380" s="253">
        <f t="shared" ref="F380:I380" si="18">F384+F383+F382+F381</f>
        <v>56.731479999999998</v>
      </c>
      <c r="G380" s="253">
        <f t="shared" si="18"/>
        <v>154.54379</v>
      </c>
      <c r="H380" s="253">
        <f>H384+H383+H382+H381</f>
        <v>24204.45621</v>
      </c>
      <c r="I380" s="253">
        <f t="shared" si="18"/>
        <v>209.45943</v>
      </c>
      <c r="J380" s="130"/>
    </row>
    <row r="381" spans="1:10" ht="14.1" customHeight="1" x14ac:dyDescent="0.25">
      <c r="A381" s="218"/>
      <c r="B381" s="72"/>
      <c r="C381" s="255" t="s">
        <v>103</v>
      </c>
      <c r="D381" s="256">
        <v>14132</v>
      </c>
      <c r="E381" s="256">
        <v>14132</v>
      </c>
      <c r="F381" s="257">
        <f>0</f>
        <v>0</v>
      </c>
      <c r="G381" s="257">
        <f>0</f>
        <v>0</v>
      </c>
      <c r="H381" s="257">
        <f t="shared" ref="H381:H385" si="19">E381-G381</f>
        <v>14132</v>
      </c>
      <c r="I381" s="257">
        <f>0</f>
        <v>0</v>
      </c>
      <c r="J381" s="130"/>
    </row>
    <row r="382" spans="1:10" ht="14.1" customHeight="1" x14ac:dyDescent="0.25">
      <c r="A382" s="218"/>
      <c r="B382" s="72"/>
      <c r="C382" s="260" t="s">
        <v>21</v>
      </c>
      <c r="D382" s="256">
        <v>3678</v>
      </c>
      <c r="E382" s="256">
        <v>3678</v>
      </c>
      <c r="F382" s="257">
        <f>0</f>
        <v>0</v>
      </c>
      <c r="G382" s="257">
        <f>0</f>
        <v>0</v>
      </c>
      <c r="H382" s="257">
        <f t="shared" si="19"/>
        <v>3678</v>
      </c>
      <c r="I382" s="257">
        <f>0</f>
        <v>0</v>
      </c>
      <c r="J382" s="130"/>
    </row>
    <row r="383" spans="1:10" ht="14.1" customHeight="1" x14ac:dyDescent="0.25">
      <c r="A383" s="218"/>
      <c r="B383" s="72"/>
      <c r="C383" s="260" t="s">
        <v>100</v>
      </c>
      <c r="D383" s="256">
        <v>1506</v>
      </c>
      <c r="E383" s="256">
        <v>1506</v>
      </c>
      <c r="F383" s="257">
        <f>55.39548</f>
        <v>55.395479999999999</v>
      </c>
      <c r="G383" s="257">
        <f>150.13339</f>
        <v>150.13338999999999</v>
      </c>
      <c r="H383" s="257">
        <f t="shared" si="19"/>
        <v>1355.86661</v>
      </c>
      <c r="I383" s="257">
        <f>196.76263</f>
        <v>196.76263</v>
      </c>
      <c r="J383" s="130"/>
    </row>
    <row r="384" spans="1:10" ht="14.1" customHeight="1" x14ac:dyDescent="0.25">
      <c r="A384" s="218"/>
      <c r="B384" s="72"/>
      <c r="C384" s="262" t="s">
        <v>124</v>
      </c>
      <c r="D384" s="263">
        <v>5043</v>
      </c>
      <c r="E384" s="263">
        <v>5043</v>
      </c>
      <c r="F384" s="257">
        <f>1.336</f>
        <v>1.3360000000000001</v>
      </c>
      <c r="G384" s="257">
        <f>4.4104</f>
        <v>4.4104000000000001</v>
      </c>
      <c r="H384" s="257">
        <f t="shared" si="19"/>
        <v>5038.5896000000002</v>
      </c>
      <c r="I384" s="257">
        <f>12.6968</f>
        <v>12.6968</v>
      </c>
      <c r="J384" s="130"/>
    </row>
    <row r="385" spans="1:10" ht="14.1" customHeight="1" x14ac:dyDescent="0.25">
      <c r="A385" s="218"/>
      <c r="B385" s="72"/>
      <c r="C385" s="265" t="s">
        <v>59</v>
      </c>
      <c r="D385" s="266">
        <v>5500</v>
      </c>
      <c r="E385" s="266">
        <v>5500</v>
      </c>
      <c r="F385" s="268">
        <f>0</f>
        <v>0</v>
      </c>
      <c r="G385" s="268">
        <f>0</f>
        <v>0</v>
      </c>
      <c r="H385" s="268">
        <f t="shared" si="19"/>
        <v>5500</v>
      </c>
      <c r="I385" s="268">
        <f>0.543</f>
        <v>0.54300000000000004</v>
      </c>
      <c r="J385" s="130"/>
    </row>
    <row r="386" spans="1:10" ht="14.1" customHeight="1" x14ac:dyDescent="0.25">
      <c r="A386" s="218"/>
      <c r="B386" s="72"/>
      <c r="C386" s="247" t="s">
        <v>22</v>
      </c>
      <c r="D386" s="251">
        <v>8000</v>
      </c>
      <c r="E386" s="251">
        <v>8000</v>
      </c>
      <c r="F386" s="269">
        <f>F388+F387</f>
        <v>96.832819999999998</v>
      </c>
      <c r="G386" s="269">
        <f>G388+G387</f>
        <v>212.75578999999999</v>
      </c>
      <c r="H386" s="269">
        <f>E386-G386</f>
        <v>7787.2442099999998</v>
      </c>
      <c r="I386" s="269">
        <f>I388+I387</f>
        <v>199.48312000000001</v>
      </c>
      <c r="J386" s="130"/>
    </row>
    <row r="387" spans="1:10" ht="14.1" customHeight="1" x14ac:dyDescent="0.25">
      <c r="A387" s="218"/>
      <c r="B387" s="72"/>
      <c r="C387" s="260" t="s">
        <v>53</v>
      </c>
      <c r="D387" s="271"/>
      <c r="E387" s="256"/>
      <c r="F387" s="257">
        <f>0</f>
        <v>0</v>
      </c>
      <c r="G387" s="257">
        <f>0</f>
        <v>0</v>
      </c>
      <c r="H387" s="257"/>
      <c r="I387" s="257">
        <f>0</f>
        <v>0</v>
      </c>
      <c r="J387" s="130"/>
    </row>
    <row r="388" spans="1:10" ht="14.1" customHeight="1" x14ac:dyDescent="0.25">
      <c r="A388" s="218"/>
      <c r="B388" s="72"/>
      <c r="C388" s="273" t="s">
        <v>104</v>
      </c>
      <c r="D388" s="274"/>
      <c r="E388" s="277"/>
      <c r="F388" s="278">
        <f>96.83282</f>
        <v>96.832819999999998</v>
      </c>
      <c r="G388" s="278">
        <f>212.75579</f>
        <v>212.75578999999999</v>
      </c>
      <c r="H388" s="278"/>
      <c r="I388" s="278">
        <f>199.48312</f>
        <v>199.48312000000001</v>
      </c>
      <c r="J388" s="130"/>
    </row>
    <row r="389" spans="1:10" ht="14.1" customHeight="1" x14ac:dyDescent="0.25">
      <c r="A389" s="218"/>
      <c r="B389" s="72"/>
      <c r="C389" s="265" t="s">
        <v>34</v>
      </c>
      <c r="D389" s="266">
        <v>13</v>
      </c>
      <c r="E389" s="266">
        <v>13</v>
      </c>
      <c r="F389" s="268">
        <f>0</f>
        <v>0</v>
      </c>
      <c r="G389" s="268">
        <f>0</f>
        <v>0</v>
      </c>
      <c r="H389" s="268">
        <f>E389-G389</f>
        <v>13</v>
      </c>
      <c r="I389" s="268">
        <f>0</f>
        <v>0</v>
      </c>
      <c r="J389" s="130"/>
    </row>
    <row r="390" spans="1:10" ht="14.1" customHeight="1" x14ac:dyDescent="0.25">
      <c r="A390" s="218"/>
      <c r="B390" s="72"/>
      <c r="C390" s="279" t="s">
        <v>105</v>
      </c>
      <c r="D390" s="282"/>
      <c r="E390" s="283"/>
      <c r="F390" s="268">
        <f>2.64928</f>
        <v>2.6492800000000001</v>
      </c>
      <c r="G390" s="268">
        <f>2.77096</f>
        <v>2.7709600000000001</v>
      </c>
      <c r="H390" s="268">
        <f>E390-G390</f>
        <v>-2.7709600000000001</v>
      </c>
      <c r="I390" s="268">
        <f>2.19956</f>
        <v>2.19956</v>
      </c>
      <c r="J390" s="130"/>
    </row>
    <row r="391" spans="1:10" ht="19.5" customHeight="1" x14ac:dyDescent="0.25">
      <c r="A391" s="218"/>
      <c r="B391" s="72"/>
      <c r="C391" s="285" t="s">
        <v>40</v>
      </c>
      <c r="D391" s="286">
        <f>D380+D385+D386+D389+D390</f>
        <v>37872</v>
      </c>
      <c r="E391" s="286">
        <f>E380+E385+E386+E389+E390</f>
        <v>37872</v>
      </c>
      <c r="F391" s="287">
        <f t="shared" ref="F391:I391" si="20">F380+F385+F386+F389+F390</f>
        <v>156.21358000000001</v>
      </c>
      <c r="G391" s="287">
        <f t="shared" si="20"/>
        <v>370.07053999999999</v>
      </c>
      <c r="H391" s="287">
        <f>H380+H385+H386+H389+H390</f>
        <v>37501.929459999999</v>
      </c>
      <c r="I391" s="287">
        <f t="shared" si="20"/>
        <v>411.68511000000001</v>
      </c>
      <c r="J391" s="130"/>
    </row>
    <row r="392" spans="1:10" ht="14.1" customHeight="1" x14ac:dyDescent="0.25">
      <c r="A392" s="218"/>
      <c r="B392" s="72"/>
      <c r="C392" s="161" t="s">
        <v>106</v>
      </c>
      <c r="D392" s="289"/>
      <c r="E392" s="289"/>
      <c r="F392" s="4"/>
      <c r="G392" s="4"/>
      <c r="H392" s="5"/>
      <c r="I392" s="5"/>
      <c r="J392" s="130"/>
    </row>
    <row r="393" spans="1:10" ht="14.1" customHeight="1" x14ac:dyDescent="0.25">
      <c r="A393" s="218"/>
      <c r="B393" s="72"/>
      <c r="C393" s="101" t="s">
        <v>144</v>
      </c>
      <c r="D393" s="289"/>
      <c r="E393" s="289"/>
      <c r="F393" s="4"/>
      <c r="G393" s="4"/>
      <c r="H393" s="7"/>
      <c r="I393" s="5"/>
      <c r="J393" s="130"/>
    </row>
    <row r="394" spans="1:10" ht="14.1" customHeight="1" x14ac:dyDescent="0.25">
      <c r="A394" s="218"/>
      <c r="B394" s="72"/>
      <c r="C394" s="161" t="s">
        <v>147</v>
      </c>
      <c r="D394" s="289"/>
      <c r="E394" s="289"/>
      <c r="F394" s="4"/>
      <c r="G394" s="4"/>
      <c r="H394" s="5"/>
      <c r="I394" s="7"/>
      <c r="J394" s="130"/>
    </row>
    <row r="395" spans="1:10" ht="15.75" customHeight="1" x14ac:dyDescent="0.25">
      <c r="A395" s="218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8"/>
      <c r="B396" s="150" t="s">
        <v>113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8"/>
      <c r="B397" s="150" t="s">
        <v>113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8"/>
      <c r="C398" s="150" t="s">
        <v>113</v>
      </c>
      <c r="D398" s="156"/>
    </row>
    <row r="399" spans="1:10" ht="14.1" customHeight="1" x14ac:dyDescent="0.25">
      <c r="A399" s="218"/>
      <c r="B399" s="123"/>
      <c r="C399" s="239"/>
      <c r="D399" s="17"/>
      <c r="E399" s="239"/>
      <c r="F399" s="239"/>
      <c r="G399" s="239"/>
      <c r="H399" s="239"/>
      <c r="I399" s="239"/>
      <c r="J399" s="60"/>
    </row>
    <row r="400" spans="1:10" ht="14.1" customHeight="1" x14ac:dyDescent="0.25">
      <c r="A400" s="218"/>
      <c r="B400" s="72"/>
      <c r="C400" s="219" t="s">
        <v>107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8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8"/>
      <c r="B402" s="72"/>
      <c r="C402" s="149" t="s">
        <v>1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8"/>
      <c r="B403" s="72"/>
      <c r="C403" s="259" t="s">
        <v>6</v>
      </c>
      <c r="D403" s="270">
        <v>2681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8"/>
      <c r="B404" s="72"/>
      <c r="C404" s="248" t="s">
        <v>91</v>
      </c>
      <c r="D404" s="46">
        <v>1753</v>
      </c>
      <c r="E404" s="150"/>
      <c r="G404" s="150"/>
      <c r="H404" s="150"/>
      <c r="I404" s="150"/>
      <c r="J404" s="130"/>
    </row>
    <row r="405" spans="1:10" ht="14.1" customHeight="1" x14ac:dyDescent="0.25">
      <c r="A405" s="218"/>
      <c r="B405" s="72"/>
      <c r="C405" s="248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8"/>
      <c r="B406" s="72"/>
      <c r="C406" s="57" t="s">
        <v>49</v>
      </c>
      <c r="D406" s="35">
        <v>4557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8"/>
      <c r="B407" s="72"/>
      <c r="C407" s="302" t="s">
        <v>122</v>
      </c>
      <c r="D407" s="302"/>
      <c r="E407" s="302"/>
      <c r="F407" s="302"/>
      <c r="G407" s="214"/>
      <c r="H407" s="214"/>
      <c r="I407" s="150"/>
      <c r="J407" s="130"/>
    </row>
    <row r="408" spans="1:10" ht="14.1" customHeight="1" x14ac:dyDescent="0.25">
      <c r="A408" s="218"/>
      <c r="B408" s="72"/>
      <c r="C408" s="214"/>
      <c r="D408" s="214"/>
      <c r="E408" s="214"/>
      <c r="F408" s="214"/>
      <c r="G408" s="214"/>
      <c r="H408" s="214"/>
      <c r="I408" s="150"/>
      <c r="J408" s="130"/>
    </row>
    <row r="409" spans="1:10" ht="14.1" customHeight="1" x14ac:dyDescent="0.25">
      <c r="A409" s="218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8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8"/>
      <c r="B411" s="231"/>
      <c r="C411" s="234" t="s">
        <v>15</v>
      </c>
      <c r="D411" s="234"/>
      <c r="E411" s="234"/>
      <c r="F411" s="234"/>
      <c r="G411" s="234"/>
      <c r="H411" s="234"/>
      <c r="I411" s="234"/>
      <c r="J411" s="238"/>
    </row>
    <row r="412" spans="1:10" ht="78" customHeight="1" x14ac:dyDescent="0.25">
      <c r="A412" s="218"/>
      <c r="B412" s="198"/>
      <c r="C412" s="20" t="s">
        <v>108</v>
      </c>
      <c r="D412" s="22" t="s">
        <v>109</v>
      </c>
      <c r="E412" s="20" t="s">
        <v>128</v>
      </c>
      <c r="F412" s="20" t="s">
        <v>129</v>
      </c>
      <c r="G412" s="25" t="s">
        <v>130</v>
      </c>
      <c r="H412" s="20" t="s">
        <v>131</v>
      </c>
      <c r="I412" s="224"/>
      <c r="J412" s="13"/>
    </row>
    <row r="413" spans="1:10" ht="14.1" customHeight="1" x14ac:dyDescent="0.25">
      <c r="A413" s="218"/>
      <c r="B413" s="72"/>
      <c r="C413" s="265" t="s">
        <v>110</v>
      </c>
      <c r="D413" s="204">
        <v>894</v>
      </c>
      <c r="E413" s="26">
        <f>SUM(E414:E415)</f>
        <v>0</v>
      </c>
      <c r="F413" s="26">
        <f>SUM(F414:F415)</f>
        <v>1023.2118800000001</v>
      </c>
      <c r="G413" s="85">
        <f>D413-F413</f>
        <v>-129.21188000000006</v>
      </c>
      <c r="H413" s="26">
        <f>SUM(H414:H415)</f>
        <v>988.40122999999994</v>
      </c>
      <c r="I413" s="27"/>
      <c r="J413" s="130"/>
    </row>
    <row r="414" spans="1:10" ht="14.1" customHeight="1" x14ac:dyDescent="0.25">
      <c r="A414" s="218"/>
      <c r="B414" s="72"/>
      <c r="C414" s="29" t="s">
        <v>8</v>
      </c>
      <c r="E414" s="205">
        <f>0</f>
        <v>0</v>
      </c>
      <c r="F414" s="205">
        <f>778.95308</f>
        <v>778.95308</v>
      </c>
      <c r="G414" s="206"/>
      <c r="H414" s="205">
        <f>753.71223</f>
        <v>753.71222999999998</v>
      </c>
      <c r="I414" s="150"/>
      <c r="J414" s="130"/>
    </row>
    <row r="415" spans="1:10" ht="14.1" customHeight="1" x14ac:dyDescent="0.25">
      <c r="A415" s="218"/>
      <c r="B415" s="72"/>
      <c r="C415" s="29" t="s">
        <v>11</v>
      </c>
      <c r="D415" s="207"/>
      <c r="E415" s="208">
        <f>0</f>
        <v>0</v>
      </c>
      <c r="F415" s="208">
        <f>244.2588</f>
        <v>244.25880000000001</v>
      </c>
      <c r="G415" s="209"/>
      <c r="H415" s="208">
        <f>234.689</f>
        <v>234.68899999999999</v>
      </c>
      <c r="I415" s="150"/>
      <c r="J415" s="130"/>
    </row>
    <row r="416" spans="1:10" ht="14.1" customHeight="1" x14ac:dyDescent="0.25">
      <c r="A416" s="218"/>
      <c r="B416" s="72"/>
      <c r="C416" s="265" t="s">
        <v>111</v>
      </c>
      <c r="D416" s="10">
        <v>894</v>
      </c>
      <c r="E416" s="26">
        <f>SUM(E417:E418)</f>
        <v>62.751800000000003</v>
      </c>
      <c r="F416" s="26">
        <f>SUM(F417:F418)</f>
        <v>633.86393999999996</v>
      </c>
      <c r="G416" s="85">
        <f>D416-F416</f>
        <v>260.13606000000004</v>
      </c>
      <c r="H416" s="26">
        <f>SUM(H417:H418)</f>
        <v>724.71730000000002</v>
      </c>
      <c r="I416" s="27"/>
      <c r="J416" s="130"/>
    </row>
    <row r="417" spans="1:10" ht="14.1" customHeight="1" x14ac:dyDescent="0.25">
      <c r="A417" s="218"/>
      <c r="B417" s="72"/>
      <c r="C417" s="29" t="s">
        <v>8</v>
      </c>
      <c r="D417" s="42"/>
      <c r="E417" s="30">
        <f>49.4585</f>
        <v>49.458500000000001</v>
      </c>
      <c r="F417" s="30">
        <f>488.076</f>
        <v>488.07600000000002</v>
      </c>
      <c r="G417" s="97"/>
      <c r="H417" s="30">
        <f>563.2345</f>
        <v>563.23450000000003</v>
      </c>
      <c r="I417" s="150"/>
      <c r="J417" s="130"/>
    </row>
    <row r="418" spans="1:10" ht="14.1" customHeight="1" x14ac:dyDescent="0.25">
      <c r="A418" s="218"/>
      <c r="B418" s="72"/>
      <c r="C418" s="29" t="s">
        <v>11</v>
      </c>
      <c r="D418" s="221"/>
      <c r="E418" s="30">
        <f>13.2933</f>
        <v>13.2933</v>
      </c>
      <c r="F418" s="30">
        <f>145.78794</f>
        <v>145.78793999999999</v>
      </c>
      <c r="G418" s="108"/>
      <c r="H418" s="30">
        <f>161.4828</f>
        <v>161.4828</v>
      </c>
      <c r="I418" s="150"/>
      <c r="J418" s="130"/>
    </row>
    <row r="419" spans="1:10" ht="14.1" customHeight="1" x14ac:dyDescent="0.25">
      <c r="A419" s="218"/>
      <c r="B419" s="72"/>
      <c r="C419" s="265" t="s">
        <v>112</v>
      </c>
      <c r="D419" s="10">
        <v>893</v>
      </c>
      <c r="E419" s="36">
        <f>SUM(E420:E421)</f>
        <v>0</v>
      </c>
      <c r="F419" s="36">
        <f>SUM(F420:F421)</f>
        <v>0</v>
      </c>
      <c r="G419" s="85">
        <f>D419-F419</f>
        <v>893</v>
      </c>
      <c r="H419" s="36">
        <f>SUM(H420:H421)</f>
        <v>0</v>
      </c>
      <c r="I419" s="150"/>
      <c r="J419" s="130"/>
    </row>
    <row r="420" spans="1:10" ht="14.1" customHeight="1" x14ac:dyDescent="0.25">
      <c r="A420" s="218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" customHeight="1" x14ac:dyDescent="0.25">
      <c r="A421" s="218"/>
      <c r="B421" s="72"/>
      <c r="C421" s="29" t="s">
        <v>11</v>
      </c>
      <c r="D421" s="221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" customHeight="1" x14ac:dyDescent="0.25">
      <c r="A422" s="218"/>
      <c r="B422" s="72"/>
      <c r="C422" s="279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8"/>
      <c r="B423" s="72"/>
      <c r="C423" s="285" t="s">
        <v>87</v>
      </c>
      <c r="D423" s="39">
        <f>D413+D416+D419</f>
        <v>2681</v>
      </c>
      <c r="E423" s="40">
        <f>E413+E416+E419+E422</f>
        <v>62.751800000000003</v>
      </c>
      <c r="F423" s="40">
        <f>F413+F416+F419+F422</f>
        <v>1657.07582</v>
      </c>
      <c r="G423" s="41">
        <f>D423-F423</f>
        <v>1023.92418</v>
      </c>
      <c r="H423" s="40">
        <f>H413+H416+H419+H422</f>
        <v>1713.11853</v>
      </c>
      <c r="I423" s="27"/>
      <c r="J423" s="130"/>
    </row>
    <row r="424" spans="1:10" ht="42" customHeight="1" x14ac:dyDescent="0.25">
      <c r="A424" s="218"/>
      <c r="B424" s="72"/>
      <c r="C424" s="293" t="s">
        <v>116</v>
      </c>
      <c r="D424" s="293"/>
      <c r="E424" s="293"/>
      <c r="F424" s="293"/>
      <c r="G424" s="293"/>
      <c r="H424" s="293"/>
      <c r="I424" s="293"/>
      <c r="J424" s="294"/>
    </row>
    <row r="425" spans="1:10" ht="14.1" customHeight="1" x14ac:dyDescent="0.25">
      <c r="A425" s="218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5">
    <mergeCell ref="C17:H17"/>
    <mergeCell ref="B2:J2"/>
    <mergeCell ref="B9:J9"/>
    <mergeCell ref="C11:D11"/>
    <mergeCell ref="E11:F11"/>
    <mergeCell ref="G11:H11"/>
    <mergeCell ref="C424:J424"/>
    <mergeCell ref="C52:H52"/>
    <mergeCell ref="E55:E59"/>
    <mergeCell ref="H55:H59"/>
    <mergeCell ref="C81:D81"/>
    <mergeCell ref="E81:F81"/>
    <mergeCell ref="G81:H81"/>
    <mergeCell ref="C407:F407"/>
    <mergeCell ref="D55:D59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4&amp;R27.01.2025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2025-02-11T09:07:19Z</dcterms:modified>
</cp:coreProperties>
</file>