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D5E3DCBA-3C87-4160-93B0-1F2D81ACF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/>
  <c r="H329" i="1"/>
  <c r="F329" i="1"/>
  <c r="E329" i="1"/>
  <c r="H328" i="1"/>
  <c r="F328" i="1"/>
  <c r="F327" i="1" s="1"/>
  <c r="G327" i="1" s="1"/>
  <c r="E328" i="1"/>
  <c r="E327" i="1" s="1"/>
  <c r="H327" i="1"/>
  <c r="H326" i="1"/>
  <c r="F326" i="1"/>
  <c r="E326" i="1"/>
  <c r="E324" i="1" s="1"/>
  <c r="H325" i="1"/>
  <c r="F325" i="1"/>
  <c r="E325" i="1"/>
  <c r="H324" i="1"/>
  <c r="G324" i="1"/>
  <c r="F324" i="1"/>
  <c r="H323" i="1"/>
  <c r="H321" i="1" s="1"/>
  <c r="H331" i="1" s="1"/>
  <c r="F323" i="1"/>
  <c r="E323" i="1"/>
  <c r="E321" i="1" s="1"/>
  <c r="H322" i="1"/>
  <c r="F322" i="1"/>
  <c r="F321" i="1" s="1"/>
  <c r="E322" i="1"/>
  <c r="E299" i="1"/>
  <c r="D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G294" i="1" s="1"/>
  <c r="H294" i="1" s="1"/>
  <c r="F295" i="1"/>
  <c r="I294" i="1"/>
  <c r="I293" i="1"/>
  <c r="G293" i="1"/>
  <c r="H293" i="1" s="1"/>
  <c r="F293" i="1"/>
  <c r="I292" i="1"/>
  <c r="G292" i="1"/>
  <c r="H292" i="1" s="1"/>
  <c r="F292" i="1"/>
  <c r="I291" i="1"/>
  <c r="G291" i="1"/>
  <c r="G288" i="1" s="1"/>
  <c r="G299" i="1" s="1"/>
  <c r="F291" i="1"/>
  <c r="F288" i="1" s="1"/>
  <c r="F299" i="1" s="1"/>
  <c r="I290" i="1"/>
  <c r="I288" i="1" s="1"/>
  <c r="I299" i="1" s="1"/>
  <c r="G290" i="1"/>
  <c r="H290" i="1" s="1"/>
  <c r="F290" i="1"/>
  <c r="I289" i="1"/>
  <c r="G289" i="1"/>
  <c r="H289" i="1" s="1"/>
  <c r="F289" i="1"/>
  <c r="E288" i="1"/>
  <c r="D288" i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F207" i="1"/>
  <c r="G207" i="1" s="1"/>
  <c r="E207" i="1"/>
  <c r="D207" i="1"/>
  <c r="G206" i="1"/>
  <c r="H205" i="1"/>
  <c r="F205" i="1"/>
  <c r="G205" i="1" s="1"/>
  <c r="E205" i="1"/>
  <c r="H204" i="1"/>
  <c r="H207" i="1" s="1"/>
  <c r="G204" i="1"/>
  <c r="F204" i="1"/>
  <c r="E204" i="1"/>
  <c r="D184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G177" i="1"/>
  <c r="F177" i="1"/>
  <c r="E177" i="1"/>
  <c r="H176" i="1"/>
  <c r="F176" i="1"/>
  <c r="E176" i="1"/>
  <c r="E184" i="1" s="1"/>
  <c r="H175" i="1"/>
  <c r="H184" i="1" s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I133" i="1" s="1"/>
  <c r="G140" i="1"/>
  <c r="H140" i="1" s="1"/>
  <c r="H139" i="1" s="1"/>
  <c r="F140" i="1"/>
  <c r="G139" i="1"/>
  <c r="F139" i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G134" i="1"/>
  <c r="G133" i="1" s="1"/>
  <c r="F135" i="1"/>
  <c r="F134" i="1" s="1"/>
  <c r="F133" i="1" s="1"/>
  <c r="I134" i="1"/>
  <c r="E134" i="1"/>
  <c r="I132" i="1"/>
  <c r="H132" i="1"/>
  <c r="F132" i="1"/>
  <c r="H131" i="1"/>
  <c r="I130" i="1"/>
  <c r="I128" i="1" s="1"/>
  <c r="I150" i="1" s="1"/>
  <c r="G130" i="1"/>
  <c r="H130" i="1" s="1"/>
  <c r="F130" i="1"/>
  <c r="I129" i="1"/>
  <c r="G129" i="1"/>
  <c r="G128" i="1" s="1"/>
  <c r="F129" i="1"/>
  <c r="F128" i="1" s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H96" i="1" s="1"/>
  <c r="F97" i="1"/>
  <c r="I96" i="1"/>
  <c r="I95" i="1" s="1"/>
  <c r="G96" i="1"/>
  <c r="G95" i="1" s="1"/>
  <c r="F96" i="1"/>
  <c r="E96" i="1"/>
  <c r="D96" i="1"/>
  <c r="F95" i="1"/>
  <c r="E95" i="1"/>
  <c r="D95" i="1"/>
  <c r="D107" i="1" s="1"/>
  <c r="I94" i="1"/>
  <c r="G94" i="1"/>
  <c r="H94" i="1" s="1"/>
  <c r="F94" i="1"/>
  <c r="I93" i="1"/>
  <c r="I92" i="1" s="1"/>
  <c r="I107" i="1" s="1"/>
  <c r="G93" i="1"/>
  <c r="H93" i="1" s="1"/>
  <c r="F93" i="1"/>
  <c r="F92" i="1" s="1"/>
  <c r="F107" i="1" s="1"/>
  <c r="E92" i="1"/>
  <c r="E107" i="1" s="1"/>
  <c r="C89" i="1"/>
  <c r="H85" i="1"/>
  <c r="F85" i="1"/>
  <c r="D85" i="1"/>
  <c r="G61" i="1"/>
  <c r="G60" i="1"/>
  <c r="H55" i="1"/>
  <c r="F55" i="1"/>
  <c r="G32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F34" i="1"/>
  <c r="I33" i="1"/>
  <c r="G33" i="1"/>
  <c r="H33" i="1" s="1"/>
  <c r="F33" i="1"/>
  <c r="I32" i="1"/>
  <c r="I31" i="1"/>
  <c r="I27" i="1" s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F27" i="1" s="1"/>
  <c r="I25" i="1"/>
  <c r="G25" i="1"/>
  <c r="H25" i="1" s="1"/>
  <c r="F25" i="1"/>
  <c r="I24" i="1"/>
  <c r="G24" i="1"/>
  <c r="H24" i="1" s="1"/>
  <c r="F24" i="1"/>
  <c r="F23" i="1" s="1"/>
  <c r="I23" i="1"/>
  <c r="H16" i="1"/>
  <c r="F16" i="1"/>
  <c r="D16" i="1"/>
  <c r="I34" i="1" l="1"/>
  <c r="I26" i="1" s="1"/>
  <c r="I44" i="1" s="1"/>
  <c r="F26" i="1"/>
  <c r="F44" i="1" s="1"/>
  <c r="G321" i="1"/>
  <c r="G331" i="1" s="1"/>
  <c r="F331" i="1"/>
  <c r="F150" i="1"/>
  <c r="H23" i="1"/>
  <c r="G150" i="1"/>
  <c r="E331" i="1"/>
  <c r="G27" i="1"/>
  <c r="H32" i="1"/>
  <c r="H27" i="1" s="1"/>
  <c r="H95" i="1"/>
  <c r="H92" i="1"/>
  <c r="H107" i="1" s="1"/>
  <c r="H288" i="1"/>
  <c r="H299" i="1" s="1"/>
  <c r="G55" i="1"/>
  <c r="H135" i="1"/>
  <c r="H134" i="1" s="1"/>
  <c r="H133" i="1" s="1"/>
  <c r="H129" i="1"/>
  <c r="H128" i="1" s="1"/>
  <c r="H150" i="1" s="1"/>
  <c r="F184" i="1"/>
  <c r="G184" i="1" s="1"/>
  <c r="H291" i="1"/>
  <c r="G23" i="1"/>
  <c r="G34" i="1"/>
  <c r="G92" i="1"/>
  <c r="G107" i="1" s="1"/>
  <c r="F262" i="1"/>
  <c r="G262" i="1" s="1"/>
  <c r="H34" i="1" l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<sst xmlns="http://schemas.openxmlformats.org/spreadsheetml/2006/main" count="330" uniqueCount="148">
  <si>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</si>
  <si>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</si>
  <si>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</si>
  <si>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</si>
  <si>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</si>
  <si>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</si>
  <si>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</si>
  <si>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</si>
  <si>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</si>
  <si>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</si>
  <si>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</si>
  <si>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</si>
  <si>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</si>
  <si>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</si>
  <si>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</si>
  <si>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</si>
  <si>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</si>
  <si>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</si>
  <si>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</si>
  <si>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</si>
  <si>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</si>
  <si>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</si>
  <si>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</si>
  <si>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</si>
  <si>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</si>
  <si>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</si>
  <si>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</si>
  <si>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</si>
  <si>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</si>
  <si>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</si>
  <si>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</si>
  <si>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</si>
  <si>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</si>
  <si>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</si>
  <si>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</si>
  <si>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</si>
  <si>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</si>
  <si>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</si>
  <si>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</si>
  <si>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</si>
  <si>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</si>
  <si>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</si>
  <si>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</si>
  <si>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</si>
  <si>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</si>
  <si>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</si>
  <si>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</si>
  <si>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</si>
  <si>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</si>
  <si>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</si>
  <si>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</si>
  <si>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</si>
  <si>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</si>
  <si>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</si>
  <si>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</si>
  <si>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</si>
  <si>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</si>
  <si>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</si>
  <si>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</si>
  <si>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</si>
  <si>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</si>
  <si>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</si>
  <si>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</si>
  <si>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</si>
  <si>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</si>
  <si>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</si>
  <si>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</si>
  <si>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</si>
  <si>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</si>
  <si>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</si>
  <si>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</si>
  <si>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</si>
  <si>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</si>
  <si>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</si>
  <si>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</si>
  <si>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</si>
  <si>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</si>
  <si>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</si>
  <si>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</si>
  <si>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</si>
  <si>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</si>
  <si>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</si>
  <si>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</si>
  <si>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</si>
  <si>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</si>
  <si>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</si>
  <si>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</si>
  <si>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</si>
  <si>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</si>
  <si>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</si>
  <si>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</si>
  <si>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</si>
  <si>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</si>
  <si>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</si>
  <si>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</si>
  <si>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</si>
  <si>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</si>
  <si>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</si>
  <si>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</si>
  <si>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</si>
  <si>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</si>
  <si>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</si>
  <si>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</si>
  <si>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</si>
  <si>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</si>
  <si>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</si>
  <si>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</si>
  <si>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</si>
  <si>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</si>
  <si>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</si>
  <si>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</si>
  <si>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</si>
  <si>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</si>
  <si>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</si>
  <si>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</si>
  <si>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</si>
  <si>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</si>
  <si>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</si>
  <si>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</si>
  <si>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</si>
  <si>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</si>
  <si>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</si>
  <si>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</si>
  <si>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</si>
  <si>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</si>
  <si>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</si>
  <si>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</si>
  <si>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</si>
  <si>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</si>
  <si>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</si>
  <si>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</si>
  <si>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</si>
  <si>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</si>
  <si>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</si>
  <si>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</si>
  <si>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</si>
  <si>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</si>
  <si>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</si>
  <si>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</si>
  <si>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</si>
  <si>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</si>
  <si>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21</t>
  </si>
  <si>
    <t>FANGST T.O.M UKE 21</t>
  </si>
  <si>
    <t>RESTKVOTER UKE 21</t>
  </si>
  <si>
    <t>FANGST T.O.M UKE 21 2022</t>
  </si>
  <si>
    <r>
      <t xml:space="preserve">3 </t>
    </r>
    <r>
      <rPr>
        <sz val="9"/>
        <color indexed="8"/>
        <rFont val="Calibri"/>
        <family val="2"/>
      </rPr>
      <t>Registrert rekreasjonsfiske utgjør 478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</si>
  <si>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251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</si>
  <si>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1 408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</si>
</sst>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G6" sqref="G6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138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76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139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141</v>
      </c>
      <c r="G22" s="68" t="s">
        <v>142</v>
      </c>
      <c r="H22" s="68" t="s">
        <v>143</v>
      </c>
      <c r="I22" s="68" t="s">
        <v>144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175.614</v>
      </c>
      <c r="G23" s="28">
        <f t="shared" si="0"/>
        <v>42435.630620000004</v>
      </c>
      <c r="H23" s="11">
        <f t="shared" si="0"/>
        <v>44391.369379999996</v>
      </c>
      <c r="I23" s="11">
        <f t="shared" si="0"/>
        <v>51009.003259999998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175.614</f>
        <v>175.614</v>
      </c>
      <c r="G24" s="23">
        <f>42218.01638</f>
        <v>42218.016380000001</v>
      </c>
      <c r="H24" s="23">
        <f>E24-G24</f>
        <v>43826.983619999999</v>
      </c>
      <c r="I24" s="23">
        <f>50708.79579</f>
        <v>50708.795789999996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217.61424</f>
        <v>217.61424</v>
      </c>
      <c r="H25" s="23">
        <f>E25-G25</f>
        <v>564.38576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1156.54393</v>
      </c>
      <c r="G26" s="11">
        <f t="shared" si="1"/>
        <v>159640.63571999999</v>
      </c>
      <c r="H26" s="11">
        <f t="shared" si="1"/>
        <v>37929.364280000002</v>
      </c>
      <c r="I26" s="11">
        <f t="shared" si="1"/>
        <v>191462.18086999998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784.48348999999996</v>
      </c>
      <c r="G27" s="134">
        <f t="shared" ref="G27:I27" si="2">G28+G29+G30+G31+G32</f>
        <v>127482.51358</v>
      </c>
      <c r="H27" s="134">
        <f t="shared" si="2"/>
        <v>25168.486420000001</v>
      </c>
      <c r="I27" s="134">
        <f t="shared" si="2"/>
        <v>159236.37896999999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230.61773</f>
        <v>230.61772999999999</v>
      </c>
      <c r="G28" s="129">
        <f>35390.4791 - F57</f>
        <v>35390.479099999997</v>
      </c>
      <c r="H28" s="129">
        <f t="shared" ref="H28:H40" si="3">E28-G28</f>
        <v>4158.5209000000032</v>
      </c>
      <c r="I28" s="129">
        <f>40729.72231 - H57</f>
        <v>40729.722309999997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233.5001</f>
        <v>233.5001</v>
      </c>
      <c r="G29" s="129">
        <f>36217.25349 - F58</f>
        <v>36217.253490000003</v>
      </c>
      <c r="H29" s="129">
        <f t="shared" si="3"/>
        <v>4546.7465099999972</v>
      </c>
      <c r="I29" s="129">
        <f>43389.61559 - H58</f>
        <v>43389.615590000001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203.78987</f>
        <v>203.78987000000001</v>
      </c>
      <c r="G30" s="129">
        <f>33117.18556 - F59</f>
        <v>33117.185559999998</v>
      </c>
      <c r="H30" s="129">
        <f t="shared" si="3"/>
        <v>4149.8144400000019</v>
      </c>
      <c r="I30" s="129">
        <f>43596.24638 - H59</f>
        <v>43596.246379999997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116.57579</f>
        <v>116.57579</v>
      </c>
      <c r="G31" s="129">
        <f>22757.59543 - F60</f>
        <v>22757.595430000001</v>
      </c>
      <c r="H31" s="129">
        <f t="shared" si="3"/>
        <v>2649.4045699999988</v>
      </c>
      <c r="I31" s="129">
        <f>31520.79469 - H60</f>
        <v>31520.794689999999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</f>
        <v>0</v>
      </c>
      <c r="G33" s="134">
        <f>12964.10994</f>
        <v>12964.10994</v>
      </c>
      <c r="H33" s="134">
        <f t="shared" si="3"/>
        <v>10621.89006</v>
      </c>
      <c r="I33" s="134">
        <f>14597.77678</f>
        <v>14597.77678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372.06044000000003</v>
      </c>
      <c r="G34" s="134">
        <f>G35+G36</f>
        <v>19194.012200000001</v>
      </c>
      <c r="H34" s="134">
        <f t="shared" si="3"/>
        <v>2138.987799999999</v>
      </c>
      <c r="I34" s="134">
        <f>I35+I36</f>
        <v>17628.025119999998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372.06044</f>
        <v>372.06044000000003</v>
      </c>
      <c r="G35" s="134">
        <f>22845.0122 - F61 - F62</f>
        <v>19194.012200000001</v>
      </c>
      <c r="H35" s="129">
        <f t="shared" si="3"/>
        <v>938.98779999999897</v>
      </c>
      <c r="I35" s="129">
        <f>18947.02512 - H61 - H62</f>
        <v>17628.025119999998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13.5</f>
        <v>13.5</v>
      </c>
      <c r="G37" s="141">
        <f>255.3957</f>
        <v>255.39570000000001</v>
      </c>
      <c r="H37" s="141">
        <f t="shared" si="3"/>
        <v>2744.6043</v>
      </c>
      <c r="I37" s="141">
        <f>327.54855</f>
        <v>327.54854999999998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4.2</f>
        <v>4.2</v>
      </c>
      <c r="G38" s="100">
        <f>459.86382</f>
        <v>459.86381999999998</v>
      </c>
      <c r="H38" s="100">
        <f t="shared" si="3"/>
        <v>391.13618000000002</v>
      </c>
      <c r="I38" s="100">
        <f>436.80811</f>
        <v>436.80811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151</v>
      </c>
      <c r="G39" s="100">
        <f>F61</f>
        <v>3651</v>
      </c>
      <c r="H39" s="100">
        <f t="shared" si="3"/>
        <v>-603</v>
      </c>
      <c r="I39" s="100">
        <f>H61</f>
        <v>1319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8.24496</f>
        <v>8.2449600000000007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1509.10589</v>
      </c>
      <c r="G44" s="78">
        <f t="shared" si="4"/>
        <v>213522.08686000001</v>
      </c>
      <c r="H44" s="78">
        <f t="shared" si="4"/>
        <v>85173.913139999975</v>
      </c>
      <c r="I44" s="78">
        <f t="shared" si="4"/>
        <v>251675.47921999998</v>
      </c>
      <c r="J44" s="242"/>
    </row>
    <row r="45" spans="1:13" ht="14.1" customHeight="1" x14ac:dyDescent="0.25">
      <c r="A45" s="101"/>
      <c r="B45" s="24"/>
      <c r="C45" s="80" t="s">
        <v>130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129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141</v>
      </c>
      <c r="F54" s="68" t="s">
        <v>142</v>
      </c>
      <c r="G54" s="68" t="s">
        <v>143</v>
      </c>
      <c r="H54" s="68" t="s">
        <v>144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151</v>
      </c>
      <c r="F61" s="141">
        <v>3651</v>
      </c>
      <c r="G61" s="141">
        <f>D61-F61</f>
        <v>-651</v>
      </c>
      <c r="H61" s="141">
        <v>1319</v>
      </c>
      <c r="I61" s="256"/>
      <c r="J61" s="242"/>
    </row>
    <row r="62" spans="1:10" ht="14.1" customHeight="1" x14ac:dyDescent="0.25">
      <c r="A62" s="101"/>
      <c r="B62" s="24"/>
      <c r="C62" s="80" t="s">
        <v>126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121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76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140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141</v>
      </c>
      <c r="G91" s="15" t="s">
        <v>142</v>
      </c>
      <c r="H91" s="15" t="s">
        <v>143</v>
      </c>
      <c r="I91" s="15" t="s">
        <v>144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17.1374</v>
      </c>
      <c r="G92" s="11">
        <f t="shared" si="5"/>
        <v>38272.660919999995</v>
      </c>
      <c r="H92" s="11">
        <f t="shared" si="5"/>
        <v>-3473.6609199999966</v>
      </c>
      <c r="I92" s="11">
        <f t="shared" si="5"/>
        <v>33926.511689999999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17.1374</f>
        <v>17.1374</v>
      </c>
      <c r="G93" s="23">
        <f>37780.33538</f>
        <v>37780.335379999997</v>
      </c>
      <c r="H93" s="23">
        <f>E93-G93</f>
        <v>-3793.3353799999968</v>
      </c>
      <c r="I93" s="23">
        <f>33277.32042</f>
        <v>33277.320419999996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492.32554</f>
        <v>492.32553999999999</v>
      </c>
      <c r="H94" s="52">
        <f>E94-G94</f>
        <v>319.67446000000001</v>
      </c>
      <c r="I94" s="52">
        <f>649.19127</f>
        <v>649.19127000000003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640.67780000000005</v>
      </c>
      <c r="G95" s="11">
        <f t="shared" si="6"/>
        <v>17191.859479999999</v>
      </c>
      <c r="H95" s="11">
        <f t="shared" si="6"/>
        <v>42308.140520000008</v>
      </c>
      <c r="I95" s="11">
        <f t="shared" si="6"/>
        <v>20824.63378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623.67147</v>
      </c>
      <c r="G96" s="134">
        <f t="shared" si="7"/>
        <v>11825.7075</v>
      </c>
      <c r="H96" s="134">
        <f t="shared" si="7"/>
        <v>32665.292500000003</v>
      </c>
      <c r="I96" s="134">
        <f t="shared" si="7"/>
        <v>15691.471819999999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42.81967</f>
        <v>42.819670000000002</v>
      </c>
      <c r="G97" s="129">
        <f>2129.92488</f>
        <v>2129.92488</v>
      </c>
      <c r="H97" s="129">
        <f t="shared" ref="H97:H104" si="8">E97-G97</f>
        <v>9753.7751200000002</v>
      </c>
      <c r="I97" s="129">
        <f>2206.8335</f>
        <v>2206.8335000000002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329.81268</f>
        <v>329.81268</v>
      </c>
      <c r="G98" s="129">
        <f>3729.6874</f>
        <v>3729.6873999999998</v>
      </c>
      <c r="H98" s="129">
        <f t="shared" si="8"/>
        <v>8935.4125999999997</v>
      </c>
      <c r="I98" s="129">
        <f>5222.31597</f>
        <v>5222.3159699999997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144.86992</f>
        <v>144.86992000000001</v>
      </c>
      <c r="G99" s="129">
        <f>3040.19448</f>
        <v>3040.1944800000001</v>
      </c>
      <c r="H99" s="129">
        <f t="shared" si="8"/>
        <v>8925.4055200000003</v>
      </c>
      <c r="I99" s="129">
        <f>4788.57497</f>
        <v>4788.5749699999997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106.1692</f>
        <v>106.1692</v>
      </c>
      <c r="G100" s="129">
        <f>2925.90074</f>
        <v>2925.90074</v>
      </c>
      <c r="H100" s="129">
        <f t="shared" si="8"/>
        <v>5050.6992600000003</v>
      </c>
      <c r="I100" s="129">
        <f>3473.74738</f>
        <v>3473.7473799999998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</f>
        <v>0</v>
      </c>
      <c r="G101" s="134">
        <f>4215.23035</f>
        <v>4215.2303499999998</v>
      </c>
      <c r="H101" s="134">
        <f t="shared" si="8"/>
        <v>6175.7696500000002</v>
      </c>
      <c r="I101" s="134">
        <f>4255.93334</f>
        <v>4255.9333399999996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17.00633</f>
        <v>17.006329999999998</v>
      </c>
      <c r="G102" s="77">
        <f>1150.92163</f>
        <v>1150.9216300000001</v>
      </c>
      <c r="H102" s="77">
        <f t="shared" si="8"/>
        <v>3467.0783700000002</v>
      </c>
      <c r="I102" s="77">
        <f>877.22862</f>
        <v>877.22861999999998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0.28147</f>
        <v>0.28147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658.09667000000002</v>
      </c>
      <c r="G107" s="78">
        <f t="shared" si="9"/>
        <v>55784.536869999982</v>
      </c>
      <c r="H107" s="78">
        <f t="shared" si="9"/>
        <v>39184.463130000026</v>
      </c>
      <c r="I107" s="78">
        <f t="shared" si="9"/>
        <v>55116.875080000005</v>
      </c>
      <c r="J107" s="242"/>
    </row>
    <row r="108" spans="1:10" ht="13.5" customHeight="1" x14ac:dyDescent="0.25">
      <c r="A108" s="1"/>
      <c r="B108" s="252"/>
      <c r="C108" s="80" t="s">
        <v>128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57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127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58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121</v>
      </c>
      <c r="D113" s="226"/>
      <c r="E113" s="226"/>
      <c r="F113" s="226"/>
      <c r="G113" s="226"/>
      <c r="H113" s="226"/>
      <c r="I113" s="101"/>
      <c r="J113" s="101" t="s">
        <v>121</v>
      </c>
    </row>
    <row r="114" spans="1:10" ht="14.25" customHeight="1" x14ac:dyDescent="0.25">
      <c r="A114" s="1"/>
      <c r="B114" s="101"/>
      <c r="C114" s="101" t="s">
        <v>121</v>
      </c>
      <c r="D114" s="101" t="s">
        <v>121</v>
      </c>
      <c r="E114" s="101"/>
      <c r="F114" s="101"/>
      <c r="G114" s="101"/>
      <c r="H114" s="101"/>
      <c r="I114" s="101"/>
      <c r="J114" s="101" t="s">
        <v>121</v>
      </c>
    </row>
    <row r="115" spans="1:10" ht="17.100000000000001" customHeight="1" x14ac:dyDescent="0.25">
      <c r="A115" s="216"/>
      <c r="B115" s="216"/>
      <c r="C115" s="217" t="s">
        <v>59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60</v>
      </c>
      <c r="D121" s="119">
        <v>2150</v>
      </c>
      <c r="E121" s="117" t="s">
        <v>61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62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131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63</v>
      </c>
      <c r="F127" s="15" t="s">
        <v>141</v>
      </c>
      <c r="G127" s="15" t="s">
        <v>142</v>
      </c>
      <c r="H127" s="15" t="s">
        <v>143</v>
      </c>
      <c r="I127" s="15" t="s">
        <v>144</v>
      </c>
      <c r="J127" s="278"/>
    </row>
    <row r="128" spans="1:10" ht="14.1" customHeight="1" x14ac:dyDescent="0.25">
      <c r="A128" s="1"/>
      <c r="B128" s="252"/>
      <c r="C128" s="16" t="s">
        <v>64</v>
      </c>
      <c r="D128" s="28">
        <v>77128</v>
      </c>
      <c r="E128" s="28">
        <f t="shared" ref="E128:I128" si="10">E129+E130+E131</f>
        <v>70541</v>
      </c>
      <c r="F128" s="11">
        <f t="shared" si="10"/>
        <v>309.75885</v>
      </c>
      <c r="G128" s="11">
        <f t="shared" si="10"/>
        <v>33706.40913</v>
      </c>
      <c r="H128" s="11">
        <f t="shared" si="10"/>
        <v>36834.59087</v>
      </c>
      <c r="I128" s="11">
        <f t="shared" si="10"/>
        <v>33784.300869999999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309.75885</f>
        <v>309.75885</v>
      </c>
      <c r="G129" s="23">
        <f>29171.91475</f>
        <v>29171.91475</v>
      </c>
      <c r="H129" s="23">
        <f>E129-G129</f>
        <v>26920.08525</v>
      </c>
      <c r="I129" s="23">
        <f>28046.19521</f>
        <v>28046.195210000002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4534.49438</f>
        <v>4534.4943800000001</v>
      </c>
      <c r="H130" s="23">
        <f>E130-G130</f>
        <v>9414.5056199999999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65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66</v>
      </c>
      <c r="D132" s="93">
        <v>52113</v>
      </c>
      <c r="E132" s="93">
        <v>49172</v>
      </c>
      <c r="F132" s="97">
        <f>1568.42536</f>
        <v>1568.42536</v>
      </c>
      <c r="G132" s="97">
        <f>7333.14877+1407.752245</f>
        <v>8740.9010149999995</v>
      </c>
      <c r="H132" s="97">
        <f>E132-G132</f>
        <v>40431.098985000004</v>
      </c>
      <c r="I132" s="97">
        <f>6363.65894</f>
        <v>6363.6589400000003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446.77808000000005</v>
      </c>
      <c r="G133" s="96">
        <f t="shared" ref="G133" si="11">G134+G139+G142</f>
        <v>42684.681524999993</v>
      </c>
      <c r="H133" s="96">
        <f>H134+H139+H142</f>
        <v>38255.318475</v>
      </c>
      <c r="I133" s="96">
        <f>I134+I139+I142</f>
        <v>40661.422529999996</v>
      </c>
      <c r="J133" s="122"/>
    </row>
    <row r="134" spans="1:10" ht="14.1" customHeight="1" x14ac:dyDescent="0.25">
      <c r="A134" s="1"/>
      <c r="B134" s="54"/>
      <c r="C134" s="123" t="s">
        <v>67</v>
      </c>
      <c r="D134" s="125">
        <v>60918</v>
      </c>
      <c r="E134" s="125">
        <f>E135+E136+E137+E138</f>
        <v>59504</v>
      </c>
      <c r="F134" s="127">
        <f>F135+F136+F137+F138</f>
        <v>339.53194000000002</v>
      </c>
      <c r="G134" s="127">
        <f>G135+G136+G138+G137</f>
        <v>33380.875174999994</v>
      </c>
      <c r="H134" s="127">
        <f>H135+H136+H137+H138</f>
        <v>26123.124824999999</v>
      </c>
      <c r="I134" s="127">
        <f>I135+I136+I137+I138</f>
        <v>32097.228929999997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80.22299</f>
        <v>80.222989999999996</v>
      </c>
      <c r="G135" s="129">
        <v>5543.61042</v>
      </c>
      <c r="H135" s="129">
        <f>E135-G135</f>
        <v>11960.389579999999</v>
      </c>
      <c r="I135" s="129">
        <f>4449.46409</f>
        <v>4449.4640900000004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123.62454</f>
        <v>123.62454</v>
      </c>
      <c r="G136" s="129">
        <v>9829.2676599999995</v>
      </c>
      <c r="H136" s="129">
        <f>E136-G136</f>
        <v>5254.7323400000005</v>
      </c>
      <c r="I136" s="129">
        <f>7840.03323</f>
        <v>7840.03323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114.89201</f>
        <v>114.89201</v>
      </c>
      <c r="G137" s="129">
        <v>8883.2468599999993</v>
      </c>
      <c r="H137" s="129">
        <f>E137-G137</f>
        <v>6139.7531400000007</v>
      </c>
      <c r="I137" s="129">
        <f>10099.61824</f>
        <v>10099.61824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20.7924</f>
        <v>20.792400000000001</v>
      </c>
      <c r="G138" s="129">
        <v>9124.7502349999995</v>
      </c>
      <c r="H138" s="129">
        <f>E138-G138</f>
        <v>2768.2497650000005</v>
      </c>
      <c r="I138" s="129">
        <f>9708.11337</f>
        <v>9708.1133699999991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0</v>
      </c>
      <c r="G139" s="134">
        <f>SUM(G140:G141)</f>
        <v>6175.1038799999997</v>
      </c>
      <c r="H139" s="134">
        <f>H140+H141</f>
        <v>3256.8961199999999</v>
      </c>
      <c r="I139" s="134">
        <f>SUM(I140:I141)</f>
        <v>5773.9263499999997</v>
      </c>
      <c r="J139" s="136"/>
    </row>
    <row r="140" spans="1:10" ht="14.1" customHeight="1" x14ac:dyDescent="0.25">
      <c r="A140" s="1"/>
      <c r="B140" s="252"/>
      <c r="C140" s="64" t="s">
        <v>68</v>
      </c>
      <c r="D140" s="65">
        <v>8213</v>
      </c>
      <c r="E140" s="65">
        <v>8932</v>
      </c>
      <c r="F140" s="129">
        <f>0</f>
        <v>0</v>
      </c>
      <c r="G140" s="129">
        <f>6048.46612</f>
        <v>6048.46612</v>
      </c>
      <c r="H140" s="129">
        <f t="shared" ref="H140:H147" si="12">E140-G140</f>
        <v>2883.53388</v>
      </c>
      <c r="I140" s="129">
        <f>5667.86099</f>
        <v>5667.8609900000001</v>
      </c>
      <c r="J140" s="122"/>
    </row>
    <row r="141" spans="1:10" ht="15" customHeight="1" x14ac:dyDescent="0.25">
      <c r="A141" s="1"/>
      <c r="B141" s="55"/>
      <c r="C141" s="64" t="s">
        <v>69</v>
      </c>
      <c r="D141" s="65">
        <v>500</v>
      </c>
      <c r="E141" s="65">
        <v>500</v>
      </c>
      <c r="F141" s="129">
        <f>0</f>
        <v>0</v>
      </c>
      <c r="G141" s="129">
        <f>126.63776</f>
        <v>126.63776</v>
      </c>
      <c r="H141" s="129">
        <f t="shared" si="12"/>
        <v>373.36223999999999</v>
      </c>
      <c r="I141" s="129">
        <f>106.06536</f>
        <v>106.06536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107.24614</f>
        <v>107.24614</v>
      </c>
      <c r="G142" s="77">
        <f>3128.70247</f>
        <v>3128.7024700000002</v>
      </c>
      <c r="H142" s="77">
        <f t="shared" si="12"/>
        <v>8875.2975299999998</v>
      </c>
      <c r="I142" s="77">
        <f>2790.26725</f>
        <v>2790.2672499999999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6</f>
        <v>6</v>
      </c>
      <c r="G143" s="141">
        <f>27.32725</f>
        <v>27.327249999999999</v>
      </c>
      <c r="H143" s="141">
        <f t="shared" si="12"/>
        <v>109.67275000000001</v>
      </c>
      <c r="I143" s="141">
        <f>21.34802</f>
        <v>21.348020000000002</v>
      </c>
      <c r="J143" s="122"/>
    </row>
    <row r="144" spans="1:10" ht="15.75" customHeight="1" x14ac:dyDescent="0.25">
      <c r="A144" s="1"/>
      <c r="B144" s="252"/>
      <c r="C144" s="142" t="s">
        <v>70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149.559</f>
        <v>149.559</v>
      </c>
      <c r="J144" s="122"/>
    </row>
    <row r="145" spans="1:10" ht="18" customHeight="1" x14ac:dyDescent="0.25">
      <c r="A145" s="1"/>
      <c r="B145" s="252"/>
      <c r="C145" s="142" t="s">
        <v>71</v>
      </c>
      <c r="D145" s="145">
        <v>2000</v>
      </c>
      <c r="E145" s="145">
        <v>2000</v>
      </c>
      <c r="F145" s="141">
        <f>12.61486</f>
        <v>12.61486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72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2343.5771500000001</v>
      </c>
      <c r="G150" s="78">
        <f>G128+G132+G133+G143+G144+G145+G146+G147+G148</f>
        <v>87421.899919999996</v>
      </c>
      <c r="H150" s="78">
        <f>H128+H132+H133+H143+H144+H145+H146+H147+H148</f>
        <v>115813.10008</v>
      </c>
      <c r="I150" s="78">
        <f>I128+I132+I133+I143+I144+I145+I146+I147+I148</f>
        <v>82980.289359999995</v>
      </c>
      <c r="J150" s="162"/>
    </row>
    <row r="151" spans="1:10" ht="14.25" customHeight="1" x14ac:dyDescent="0.25">
      <c r="A151" s="159"/>
      <c r="B151" s="54"/>
      <c r="C151" s="163" t="s">
        <v>73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132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74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133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121</v>
      </c>
      <c r="B162" s="2"/>
      <c r="C162" s="217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121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121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76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141</v>
      </c>
      <c r="F174" s="15" t="s">
        <v>142</v>
      </c>
      <c r="G174" s="56" t="s">
        <v>143</v>
      </c>
      <c r="H174" s="15" t="s">
        <v>144</v>
      </c>
      <c r="I174" s="159"/>
      <c r="J174" s="278"/>
    </row>
    <row r="175" spans="1:10" ht="14.1" customHeight="1" x14ac:dyDescent="0.25">
      <c r="A175" s="1"/>
      <c r="B175" s="252"/>
      <c r="C175" s="143" t="s">
        <v>77</v>
      </c>
      <c r="D175" s="96">
        <v>4988</v>
      </c>
      <c r="E175" s="274">
        <f>32.00086</f>
        <v>32.000860000000003</v>
      </c>
      <c r="F175" s="274">
        <f>689.93682</f>
        <v>689.93682000000001</v>
      </c>
      <c r="G175" s="45">
        <f>D175-F175-F176</f>
        <v>3744.5912400000002</v>
      </c>
      <c r="H175" s="274">
        <f>507.68486</f>
        <v>507.68486000000001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21.592</f>
        <v>21.591999999999999</v>
      </c>
      <c r="F176" s="154">
        <f>553.47194</f>
        <v>553.47194000000002</v>
      </c>
      <c r="G176" s="215"/>
      <c r="H176" s="154">
        <f>756.34127</f>
        <v>756.34127000000001</v>
      </c>
      <c r="I176" s="1"/>
      <c r="J176" s="122"/>
    </row>
    <row r="177" spans="1:10" ht="15.6" customHeight="1" x14ac:dyDescent="0.25">
      <c r="A177" s="1"/>
      <c r="B177" s="252"/>
      <c r="C177" s="171" t="s">
        <v>78</v>
      </c>
      <c r="D177" s="100">
        <v>200</v>
      </c>
      <c r="E177" s="174">
        <f>0</f>
        <v>0</v>
      </c>
      <c r="F177" s="174">
        <f>38.6039</f>
        <v>38.603900000000003</v>
      </c>
      <c r="G177" s="174">
        <f>D177-F177</f>
        <v>161.39609999999999</v>
      </c>
      <c r="H177" s="174">
        <f>48.09646</f>
        <v>48.09646</v>
      </c>
      <c r="I177" s="1"/>
      <c r="J177" s="122"/>
    </row>
    <row r="178" spans="1:10" ht="14.1" customHeight="1" x14ac:dyDescent="0.25">
      <c r="A178" s="70"/>
      <c r="B178" s="81"/>
      <c r="C178" s="182" t="s">
        <v>79</v>
      </c>
      <c r="D178" s="183">
        <v>7481</v>
      </c>
      <c r="E178" s="183">
        <f>E179+E180+E181</f>
        <v>7.5438399999999994</v>
      </c>
      <c r="F178" s="183">
        <f>F179+F180+F181</f>
        <v>42.976699999999994</v>
      </c>
      <c r="G178" s="183">
        <f>D178-F178</f>
        <v>7438.0232999999998</v>
      </c>
      <c r="H178" s="183">
        <f>H179+H180+H181</f>
        <v>2128.4028399999997</v>
      </c>
      <c r="I178" s="70"/>
      <c r="J178" s="118"/>
    </row>
    <row r="179" spans="1:10" ht="14.1" customHeight="1" x14ac:dyDescent="0.25">
      <c r="A179" s="199"/>
      <c r="B179" s="184"/>
      <c r="C179" s="185" t="s">
        <v>80</v>
      </c>
      <c r="D179" s="129"/>
      <c r="E179" s="129">
        <f>1.84332</f>
        <v>1.8433200000000001</v>
      </c>
      <c r="F179" s="129">
        <f>12.65798</f>
        <v>12.65798</v>
      </c>
      <c r="G179" s="129"/>
      <c r="H179" s="129">
        <f>949.21654</f>
        <v>949.21654000000001</v>
      </c>
      <c r="I179" s="188"/>
      <c r="J179" s="131"/>
    </row>
    <row r="180" spans="1:10" ht="14.1" customHeight="1" x14ac:dyDescent="0.25">
      <c r="A180" s="199"/>
      <c r="B180" s="184"/>
      <c r="C180" s="185" t="s">
        <v>81</v>
      </c>
      <c r="D180" s="129"/>
      <c r="E180" s="129">
        <f>2.749</f>
        <v>2.7490000000000001</v>
      </c>
      <c r="F180" s="129">
        <f>26.26308</f>
        <v>26.263079999999999</v>
      </c>
      <c r="G180" s="129"/>
      <c r="H180" s="129">
        <f>703.45169</f>
        <v>703.45168999999999</v>
      </c>
      <c r="I180" s="188"/>
      <c r="J180" s="189"/>
    </row>
    <row r="181" spans="1:10" ht="14.1" customHeight="1" x14ac:dyDescent="0.25">
      <c r="A181" s="199"/>
      <c r="B181" s="184"/>
      <c r="C181" s="191" t="s">
        <v>82</v>
      </c>
      <c r="D181" s="194"/>
      <c r="E181" s="194">
        <f>2.95152</f>
        <v>2.9515199999999999</v>
      </c>
      <c r="F181" s="194">
        <f>4.05564</f>
        <v>4.0556400000000004</v>
      </c>
      <c r="G181" s="194"/>
      <c r="H181" s="194">
        <f>475.73461</f>
        <v>475.73460999999998</v>
      </c>
      <c r="I181" s="188"/>
      <c r="J181" s="189"/>
    </row>
    <row r="182" spans="1:10" ht="14.1" customHeight="1" x14ac:dyDescent="0.25">
      <c r="A182" s="1"/>
      <c r="B182" s="252"/>
      <c r="C182" s="75" t="s">
        <v>83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84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61.136700000000005</v>
      </c>
      <c r="F184" s="196">
        <f>F175+F176+F177+F178+F182+F183</f>
        <v>1324.98936</v>
      </c>
      <c r="G184" s="196">
        <f>D184-F184</f>
        <v>11410.01064</v>
      </c>
      <c r="H184" s="196">
        <f>H175+H176+H177+H178+H182+H183</f>
        <v>3440.5254299999997</v>
      </c>
      <c r="I184" s="165"/>
      <c r="J184" s="162"/>
    </row>
    <row r="185" spans="1:10" ht="42" customHeight="1" x14ac:dyDescent="0.25">
      <c r="A185" s="1"/>
      <c r="B185" s="200"/>
      <c r="C185" s="225" t="s">
        <v>134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121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121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85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121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86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87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88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135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136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137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141</v>
      </c>
      <c r="F203" s="68" t="s">
        <v>142</v>
      </c>
      <c r="G203" s="68" t="s">
        <v>143</v>
      </c>
      <c r="H203" s="68" t="s">
        <v>144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2427.53683</f>
        <v>2427.53683</v>
      </c>
      <c r="F204" s="124">
        <f>11644.6908</f>
        <v>11644.6908</v>
      </c>
      <c r="G204" s="124">
        <f>D204-F204</f>
        <v>32194.3092</v>
      </c>
      <c r="H204" s="124">
        <f>8968.32406</f>
        <v>8968.3240600000008</v>
      </c>
      <c r="I204" s="246"/>
      <c r="J204" s="122"/>
    </row>
    <row r="205" spans="1:10" ht="15" customHeight="1" x14ac:dyDescent="0.25">
      <c r="A205" s="1"/>
      <c r="B205" s="252"/>
      <c r="C205" s="90" t="s">
        <v>69</v>
      </c>
      <c r="D205" s="124">
        <v>100</v>
      </c>
      <c r="E205" s="124">
        <f>0.015</f>
        <v>1.4999999999999999E-2</v>
      </c>
      <c r="F205" s="124">
        <f>4.69337</f>
        <v>4.6933699999999998</v>
      </c>
      <c r="G205" s="124">
        <f>D205-F205</f>
        <v>95.306629999999998</v>
      </c>
      <c r="H205" s="124">
        <f>20.08676</f>
        <v>20.086760000000002</v>
      </c>
      <c r="I205" s="246"/>
      <c r="J205" s="122"/>
    </row>
    <row r="206" spans="1:10" ht="15.75" customHeight="1" x14ac:dyDescent="0.25">
      <c r="A206" s="1"/>
      <c r="B206" s="252"/>
      <c r="C206" s="146" t="s">
        <v>83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89</v>
      </c>
      <c r="D207" s="190">
        <f>SUM(D204:D206)</f>
        <v>43981</v>
      </c>
      <c r="E207" s="190">
        <f>SUM(E204:E206)</f>
        <v>2427.5518299999999</v>
      </c>
      <c r="F207" s="190">
        <f>SUM(F204:F206)</f>
        <v>11649.384170000001</v>
      </c>
      <c r="G207" s="190">
        <f>D207-F207</f>
        <v>32331.615829999999</v>
      </c>
      <c r="H207" s="190">
        <f>SUM(H204:H206)</f>
        <v>8988.410820000001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90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121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91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121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86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92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93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76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94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95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96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141</v>
      </c>
      <c r="F257" s="68" t="s">
        <v>142</v>
      </c>
      <c r="G257" s="68" t="s">
        <v>143</v>
      </c>
      <c r="H257" s="68" t="s">
        <v>144</v>
      </c>
      <c r="I257" s="1"/>
      <c r="J257" s="118"/>
    </row>
    <row r="258" spans="1:10" ht="14.1" customHeight="1" x14ac:dyDescent="0.25">
      <c r="A258" s="70"/>
      <c r="B258" s="81"/>
      <c r="C258" s="90" t="s">
        <v>97</v>
      </c>
      <c r="D258" s="124">
        <v>800</v>
      </c>
      <c r="E258" s="124">
        <f>8.37352</f>
        <v>8.3735199999999992</v>
      </c>
      <c r="F258" s="124">
        <f>189.27178</f>
        <v>189.27178000000001</v>
      </c>
      <c r="G258" s="124">
        <f>D258-F258</f>
        <v>610.72821999999996</v>
      </c>
      <c r="H258" s="124">
        <f>121.59734</f>
        <v>121.59734</v>
      </c>
      <c r="I258" s="70"/>
      <c r="J258" s="242"/>
    </row>
    <row r="259" spans="1:10" ht="14.1" customHeight="1" x14ac:dyDescent="0.25">
      <c r="A259" s="1"/>
      <c r="B259" s="252"/>
      <c r="C259" s="90" t="s">
        <v>98</v>
      </c>
      <c r="D259" s="244">
        <v>2494</v>
      </c>
      <c r="E259" s="124">
        <f>13.71186</f>
        <v>13.71186</v>
      </c>
      <c r="F259" s="124">
        <f>533.62316</f>
        <v>533.62315999999998</v>
      </c>
      <c r="G259" s="124">
        <f>D259-F259</f>
        <v>1960.3768399999999</v>
      </c>
      <c r="H259" s="124">
        <f>355.38459</f>
        <v>355.38459</v>
      </c>
      <c r="I259" s="181"/>
      <c r="J259" s="118"/>
    </row>
    <row r="260" spans="1:10" ht="16.5" customHeight="1" x14ac:dyDescent="0.25">
      <c r="A260" s="70"/>
      <c r="B260" s="81"/>
      <c r="C260" s="146" t="s">
        <v>83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99</v>
      </c>
      <c r="D261" s="220"/>
      <c r="E261" s="168">
        <f>1.04992</f>
        <v>1.04992</v>
      </c>
      <c r="F261" s="168">
        <f>1.62624</f>
        <v>1.6262399999999999</v>
      </c>
      <c r="G261" s="124"/>
      <c r="H261" s="168">
        <f>2.9125</f>
        <v>2.9125000000000001</v>
      </c>
      <c r="I261" s="282"/>
      <c r="J261" s="122"/>
    </row>
    <row r="262" spans="1:10" ht="14.1" customHeight="1" x14ac:dyDescent="0.25">
      <c r="A262" s="1"/>
      <c r="B262" s="252"/>
      <c r="C262" s="179" t="s">
        <v>89</v>
      </c>
      <c r="D262" s="6">
        <f>D247</f>
        <v>3299</v>
      </c>
      <c r="E262" s="190">
        <f>SUM(E258:E261)</f>
        <v>23.135300000000001</v>
      </c>
      <c r="F262" s="190">
        <f>SUM(F258:F261)</f>
        <v>725.15638000000013</v>
      </c>
      <c r="G262" s="190">
        <f>D262-F262</f>
        <v>2573.8436199999996</v>
      </c>
      <c r="H262" s="190">
        <f>H258+H259+H260+H261</f>
        <v>480.81133000000005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121</v>
      </c>
    </row>
    <row r="266" spans="1:10" ht="14.1" customHeight="1" x14ac:dyDescent="0.25">
      <c r="A266" s="1" t="s">
        <v>121</v>
      </c>
    </row>
    <row r="267" spans="1:10" ht="14.1" customHeight="1" x14ac:dyDescent="0.25">
      <c r="A267" s="1" t="s">
        <v>121</v>
      </c>
    </row>
    <row r="268" spans="1:10" ht="14.1" customHeight="1" x14ac:dyDescent="0.25">
      <c r="A268" s="1"/>
      <c r="C268" s="152" t="s">
        <v>121</v>
      </c>
    </row>
    <row r="269" spans="1:10" ht="36" customHeight="1" x14ac:dyDescent="0.25">
      <c r="A269" s="1"/>
      <c r="C269" s="152" t="s">
        <v>121</v>
      </c>
    </row>
    <row r="270" spans="1:10" ht="14.1" customHeight="1" x14ac:dyDescent="0.25">
      <c r="A270" s="1"/>
      <c r="C270" s="152" t="s">
        <v>121</v>
      </c>
    </row>
    <row r="271" spans="1:10" ht="14.1" customHeight="1" x14ac:dyDescent="0.25">
      <c r="A271" s="1"/>
      <c r="C271" s="152" t="s">
        <v>121</v>
      </c>
    </row>
    <row r="272" spans="1:10" ht="30" customHeight="1" x14ac:dyDescent="0.35">
      <c r="A272" s="216"/>
      <c r="B272" s="1"/>
      <c r="C272" s="213" t="s">
        <v>100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101</v>
      </c>
      <c r="F275" s="187"/>
      <c r="G275" s="151" t="s">
        <v>102</v>
      </c>
      <c r="H275" s="187"/>
      <c r="I275" s="152"/>
      <c r="J275" s="132"/>
    </row>
    <row r="276" spans="1:10" ht="14.25" customHeight="1" x14ac:dyDescent="0.25">
      <c r="B276" s="74"/>
      <c r="C276" s="257" t="s">
        <v>86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93</v>
      </c>
      <c r="D277" s="46">
        <v>19433</v>
      </c>
      <c r="E277" s="181" t="s">
        <v>98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92</v>
      </c>
      <c r="D278" s="46">
        <v>6186</v>
      </c>
      <c r="E278" s="181" t="s">
        <v>61</v>
      </c>
      <c r="F278" s="49">
        <v>5500</v>
      </c>
      <c r="G278" s="246" t="s">
        <v>103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104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105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122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106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107</v>
      </c>
      <c r="F287" s="221" t="s">
        <v>141</v>
      </c>
      <c r="G287" s="221" t="s">
        <v>142</v>
      </c>
      <c r="H287" s="221" t="s">
        <v>143</v>
      </c>
      <c r="I287" s="221" t="s">
        <v>144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116.39139999999999</v>
      </c>
      <c r="G288" s="251">
        <f t="shared" si="14"/>
        <v>4196.6124099999997</v>
      </c>
      <c r="H288" s="251">
        <f>H292+H291+H290+H289</f>
        <v>11905.387589999998</v>
      </c>
      <c r="I288" s="251">
        <f t="shared" si="14"/>
        <v>2154.7989600000001</v>
      </c>
      <c r="J288" s="132"/>
    </row>
    <row r="289" spans="1:10" ht="14.1" customHeight="1" x14ac:dyDescent="0.25">
      <c r="A289" s="216"/>
      <c r="B289" s="74"/>
      <c r="C289" s="253" t="s">
        <v>108</v>
      </c>
      <c r="D289" s="254">
        <v>6472</v>
      </c>
      <c r="E289" s="254">
        <v>8177</v>
      </c>
      <c r="F289" s="255">
        <f>0</f>
        <v>0</v>
      </c>
      <c r="G289" s="255">
        <f>1953.44012</f>
        <v>1953.44012</v>
      </c>
      <c r="H289" s="255">
        <f t="shared" ref="H289:H293" si="15">E289-G289</f>
        <v>6223.5598799999998</v>
      </c>
      <c r="I289" s="255">
        <f>808.53255</f>
        <v>808.53255000000001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764.7831</f>
        <v>764.78309999999999</v>
      </c>
      <c r="H290" s="255">
        <f t="shared" si="15"/>
        <v>1363.2168999999999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104</v>
      </c>
      <c r="D291" s="254">
        <v>1313</v>
      </c>
      <c r="E291" s="254">
        <v>1357</v>
      </c>
      <c r="F291" s="255">
        <f>43.2606</f>
        <v>43.260599999999997</v>
      </c>
      <c r="G291" s="255">
        <f>1048.16869</f>
        <v>1048.16869</v>
      </c>
      <c r="H291" s="255">
        <f t="shared" si="15"/>
        <v>308.83131000000003</v>
      </c>
      <c r="I291" s="255">
        <f>833.03821</f>
        <v>833.03821000000005</v>
      </c>
      <c r="J291" s="132"/>
    </row>
    <row r="292" spans="1:10" ht="14.1" customHeight="1" x14ac:dyDescent="0.25">
      <c r="A292" s="216"/>
      <c r="B292" s="74"/>
      <c r="C292" s="260" t="s">
        <v>109</v>
      </c>
      <c r="D292" s="261">
        <v>4296</v>
      </c>
      <c r="E292" s="261">
        <v>4440</v>
      </c>
      <c r="F292" s="255">
        <f>73.1308</f>
        <v>73.130799999999994</v>
      </c>
      <c r="G292" s="255">
        <f>430.2205</f>
        <v>430.22050000000002</v>
      </c>
      <c r="H292" s="255">
        <f t="shared" si="15"/>
        <v>4009.7795000000001</v>
      </c>
      <c r="I292" s="255">
        <f>22.8164</f>
        <v>22.816400000000002</v>
      </c>
      <c r="J292" s="132"/>
    </row>
    <row r="293" spans="1:10" ht="14.1" customHeight="1" x14ac:dyDescent="0.25">
      <c r="A293" s="216"/>
      <c r="B293" s="74"/>
      <c r="C293" s="263" t="s">
        <v>61</v>
      </c>
      <c r="D293" s="264">
        <v>5500</v>
      </c>
      <c r="E293" s="264">
        <v>5500</v>
      </c>
      <c r="F293" s="266">
        <f>438.7629</f>
        <v>438.7629</v>
      </c>
      <c r="G293" s="266">
        <f>4375.46254</f>
        <v>4375.4625400000004</v>
      </c>
      <c r="H293" s="266">
        <f t="shared" si="15"/>
        <v>1124.5374599999996</v>
      </c>
      <c r="I293" s="266">
        <f>3353.08494</f>
        <v>3353.0849400000002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26.030619999999999</v>
      </c>
      <c r="G294" s="267">
        <f>G296+G295</f>
        <v>1723.88022</v>
      </c>
      <c r="H294" s="267">
        <f>E294-G294</f>
        <v>6276.11978</v>
      </c>
      <c r="I294" s="267">
        <f>I296+I295</f>
        <v>1655.9150100000002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0.2079</f>
        <v>0.2079</v>
      </c>
      <c r="G295" s="255">
        <f>746.91115</f>
        <v>746.91115000000002</v>
      </c>
      <c r="H295" s="255"/>
      <c r="I295" s="255">
        <f>892.28714</f>
        <v>892.28714000000002</v>
      </c>
      <c r="J295" s="132"/>
    </row>
    <row r="296" spans="1:10" ht="14.1" customHeight="1" x14ac:dyDescent="0.25">
      <c r="A296" s="216"/>
      <c r="B296" s="74"/>
      <c r="C296" s="271" t="s">
        <v>110</v>
      </c>
      <c r="D296" s="272"/>
      <c r="E296" s="275"/>
      <c r="F296" s="276">
        <f>25.82272</f>
        <v>25.82272</v>
      </c>
      <c r="G296" s="276">
        <f>976.96907</f>
        <v>976.96906999999999</v>
      </c>
      <c r="H296" s="276"/>
      <c r="I296" s="276">
        <f>763.62787</f>
        <v>763.62787000000003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111</v>
      </c>
      <c r="D298" s="280"/>
      <c r="E298" s="281"/>
      <c r="F298" s="266">
        <f>1.70296</f>
        <v>1.70296</v>
      </c>
      <c r="G298" s="266">
        <f>25.16956</f>
        <v>25.169560000000001</v>
      </c>
      <c r="H298" s="266">
        <f>E298-G298</f>
        <v>-25.169560000000001</v>
      </c>
      <c r="I298" s="266">
        <f>16.99067</f>
        <v>16.990670000000001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582.88788</v>
      </c>
      <c r="G299" s="285">
        <f t="shared" si="16"/>
        <v>10321.189830000001</v>
      </c>
      <c r="H299" s="285">
        <f>H288+H293+H294+H297+H298</f>
        <v>19290.810170000001</v>
      </c>
      <c r="I299" s="285">
        <f t="shared" si="16"/>
        <v>7180.9488800000017</v>
      </c>
      <c r="J299" s="132"/>
    </row>
    <row r="300" spans="1:10" ht="14.1" customHeight="1" x14ac:dyDescent="0.25">
      <c r="A300" s="216"/>
      <c r="B300" s="74"/>
      <c r="C300" s="163" t="s">
        <v>112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123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124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121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121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121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113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114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86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93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76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115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125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116</v>
      </c>
      <c r="D320" s="22" t="s">
        <v>117</v>
      </c>
      <c r="E320" s="20" t="s">
        <v>141</v>
      </c>
      <c r="F320" s="20" t="s">
        <v>142</v>
      </c>
      <c r="G320" s="25" t="s">
        <v>143</v>
      </c>
      <c r="H320" s="20" t="s">
        <v>144</v>
      </c>
      <c r="I320" s="222"/>
      <c r="J320" s="13"/>
    </row>
    <row r="321" spans="1:10" ht="14.1" customHeight="1" x14ac:dyDescent="0.25">
      <c r="A321" s="216"/>
      <c r="B321" s="74"/>
      <c r="C321" s="263" t="s">
        <v>118</v>
      </c>
      <c r="D321" s="10">
        <v>2241</v>
      </c>
      <c r="E321" s="26">
        <f>E323+E322</f>
        <v>0</v>
      </c>
      <c r="F321" s="26">
        <f>F323+F322</f>
        <v>2192.2196300000001</v>
      </c>
      <c r="G321" s="87">
        <f>D321-F321</f>
        <v>48.780369999999948</v>
      </c>
      <c r="H321" s="26">
        <f>SUM(H322:H323)</f>
        <v>1387.8243299999999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1708.94713</f>
        <v>1708.94713</v>
      </c>
      <c r="G322" s="208"/>
      <c r="H322" s="207">
        <f>1082.54115</f>
        <v>1082.54115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483.2725</f>
        <v>483.27249999999998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119</v>
      </c>
      <c r="D324" s="10">
        <v>1120</v>
      </c>
      <c r="E324" s="26">
        <f>SUM(E325:E326)</f>
        <v>78.969500000000011</v>
      </c>
      <c r="F324" s="26">
        <f>SUM(F325:F326)</f>
        <v>348.75509</v>
      </c>
      <c r="G324" s="87">
        <f>D324-F324</f>
        <v>771.24491</v>
      </c>
      <c r="H324" s="26">
        <f>SUM(H325:H326)</f>
        <v>293.45112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59.682</f>
        <v>59.682000000000002</v>
      </c>
      <c r="F325" s="30">
        <f>256.508</f>
        <v>256.50799999999998</v>
      </c>
      <c r="G325" s="99"/>
      <c r="H325" s="30">
        <f>226.60495</f>
        <v>226.60495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19.2875</f>
        <v>19.287500000000001</v>
      </c>
      <c r="F326" s="30">
        <f>92.24709</f>
        <v>92.24709</v>
      </c>
      <c r="G326" s="110"/>
      <c r="H326" s="30">
        <f>66.84617</f>
        <v>66.846170000000001</v>
      </c>
      <c r="I326" s="152"/>
      <c r="J326" s="132"/>
    </row>
    <row r="327" spans="1:10" ht="14.1" customHeight="1" x14ac:dyDescent="0.25">
      <c r="A327" s="216"/>
      <c r="B327" s="74"/>
      <c r="C327" s="263" t="s">
        <v>120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99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89</v>
      </c>
      <c r="D331" s="41">
        <f>D321+D324+D327</f>
        <v>3361</v>
      </c>
      <c r="E331" s="42">
        <f>E321+E324+E327+E330</f>
        <v>78.969500000000011</v>
      </c>
      <c r="F331" s="42">
        <f>F321+F324+F327+F330</f>
        <v>2540.9747200000002</v>
      </c>
      <c r="G331" s="43">
        <f>SUM(G321:G330)</f>
        <v>820.02527999999995</v>
      </c>
      <c r="H331" s="42">
        <f>H321+H324+H327+H330</f>
        <v>1681.2754499999999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21&amp;R30.05.2023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2023-05-30T07:18:54Z</dcterms:modified>
</cp:coreProperties>
</file>