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xr:revisionPtr revIDLastSave="0" documentId="8_{72A3EB96-E1F8-4F7C-A389-A077AAA0F681}" xr6:coauthVersionLast="47" xr6:coauthVersionMax="47" xr10:uidLastSave="{00000000-0000-0000-0000-000000000000}"/>
  <bookViews>
    <workbookView xWindow="1520" yWindow="1520" windowWidth="14400" windowHeight="736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H119" i="1" s="1"/>
  <c r="G125" i="1"/>
  <c r="H125" i="1" s="1"/>
  <c r="G124" i="1"/>
  <c r="H124" i="1" s="1"/>
  <c r="G123" i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G322" i="1"/>
  <c r="F322" i="1"/>
  <c r="E322" i="1"/>
  <c r="E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F270" i="1"/>
  <c r="F268" i="1" s="1"/>
  <c r="I269" i="1"/>
  <c r="G269" i="1"/>
  <c r="G268" i="1" s="1"/>
  <c r="H268" i="1" s="1"/>
  <c r="F269" i="1"/>
  <c r="I268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G262" i="1" s="1"/>
  <c r="F265" i="1"/>
  <c r="I264" i="1"/>
  <c r="G264" i="1"/>
  <c r="H264" i="1" s="1"/>
  <c r="F264" i="1"/>
  <c r="I263" i="1"/>
  <c r="G263" i="1"/>
  <c r="H263" i="1" s="1"/>
  <c r="F263" i="1"/>
  <c r="F262" i="1"/>
  <c r="E262" i="1"/>
  <c r="E273" i="1" s="1"/>
  <c r="D262" i="1"/>
  <c r="H254" i="1"/>
  <c r="F254" i="1"/>
  <c r="D251" i="1"/>
  <c r="D250" i="1"/>
  <c r="F241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E202" i="1" s="1"/>
  <c r="E206" i="1" s="1"/>
  <c r="H203" i="1"/>
  <c r="F203" i="1"/>
  <c r="E203" i="1"/>
  <c r="F202" i="1"/>
  <c r="G202" i="1" s="1"/>
  <c r="I192" i="1"/>
  <c r="E192" i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F163" i="1" s="1"/>
  <c r="G163" i="1" s="1"/>
  <c r="E164" i="1"/>
  <c r="E163" i="1" s="1"/>
  <c r="H163" i="1"/>
  <c r="H162" i="1"/>
  <c r="F162" i="1"/>
  <c r="G162" i="1" s="1"/>
  <c r="E162" i="1"/>
  <c r="H161" i="1"/>
  <c r="H169" i="1" s="1"/>
  <c r="F161" i="1"/>
  <c r="E161" i="1"/>
  <c r="H160" i="1"/>
  <c r="F160" i="1"/>
  <c r="F169" i="1" s="1"/>
  <c r="E160" i="1"/>
  <c r="E169" i="1" s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H127" i="1" s="1"/>
  <c r="F127" i="1"/>
  <c r="F126" i="1" s="1"/>
  <c r="F120" i="1" s="1"/>
  <c r="I126" i="1"/>
  <c r="G126" i="1"/>
  <c r="E126" i="1"/>
  <c r="D126" i="1"/>
  <c r="I125" i="1"/>
  <c r="F125" i="1"/>
  <c r="I124" i="1"/>
  <c r="F124" i="1"/>
  <c r="I123" i="1"/>
  <c r="H123" i="1"/>
  <c r="F123" i="1"/>
  <c r="I122" i="1"/>
  <c r="I121" i="1" s="1"/>
  <c r="I120" i="1" s="1"/>
  <c r="G122" i="1"/>
  <c r="H122" i="1" s="1"/>
  <c r="F122" i="1"/>
  <c r="F121" i="1"/>
  <c r="E121" i="1"/>
  <c r="E120" i="1" s="1"/>
  <c r="D121" i="1"/>
  <c r="D120" i="1"/>
  <c r="I119" i="1"/>
  <c r="F119" i="1"/>
  <c r="I118" i="1"/>
  <c r="G118" i="1"/>
  <c r="H118" i="1" s="1"/>
  <c r="F118" i="1"/>
  <c r="I117" i="1"/>
  <c r="I115" i="1" s="1"/>
  <c r="I137" i="1" s="1"/>
  <c r="G117" i="1"/>
  <c r="H117" i="1" s="1"/>
  <c r="F117" i="1"/>
  <c r="I116" i="1"/>
  <c r="G116" i="1"/>
  <c r="G115" i="1" s="1"/>
  <c r="F116" i="1"/>
  <c r="F115" i="1" s="1"/>
  <c r="F137" i="1" s="1"/>
  <c r="E115" i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I82" i="1" s="1"/>
  <c r="H83" i="1"/>
  <c r="H82" i="1" s="1"/>
  <c r="G83" i="1"/>
  <c r="F83" i="1"/>
  <c r="F82" i="1" s="1"/>
  <c r="E83" i="1"/>
  <c r="D83" i="1"/>
  <c r="G82" i="1"/>
  <c r="E82" i="1"/>
  <c r="D82" i="1"/>
  <c r="I81" i="1"/>
  <c r="H81" i="1"/>
  <c r="G81" i="1"/>
  <c r="F81" i="1"/>
  <c r="I80" i="1"/>
  <c r="I79" i="1" s="1"/>
  <c r="H80" i="1"/>
  <c r="H79" i="1" s="1"/>
  <c r="H94" i="1" s="1"/>
  <c r="G80" i="1"/>
  <c r="G79" i="1" s="1"/>
  <c r="G94" i="1" s="1"/>
  <c r="F80" i="1"/>
  <c r="F79" i="1" s="1"/>
  <c r="F94" i="1" s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G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I33" i="1" s="1"/>
  <c r="G35" i="1"/>
  <c r="H35" i="1" s="1"/>
  <c r="F35" i="1"/>
  <c r="I34" i="1"/>
  <c r="G34" i="1"/>
  <c r="F34" i="1"/>
  <c r="F33" i="1" s="1"/>
  <c r="E33" i="1"/>
  <c r="D33" i="1"/>
  <c r="I32" i="1"/>
  <c r="H32" i="1"/>
  <c r="G32" i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D26" i="1"/>
  <c r="E25" i="1"/>
  <c r="D25" i="1"/>
  <c r="I24" i="1"/>
  <c r="H24" i="1"/>
  <c r="G24" i="1"/>
  <c r="F24" i="1"/>
  <c r="I23" i="1"/>
  <c r="I22" i="1" s="1"/>
  <c r="H23" i="1"/>
  <c r="H22" i="1" s="1"/>
  <c r="G23" i="1"/>
  <c r="G22" i="1" s="1"/>
  <c r="F23" i="1"/>
  <c r="F22" i="1" s="1"/>
  <c r="E22" i="1"/>
  <c r="E42" i="1" s="1"/>
  <c r="D22" i="1"/>
  <c r="D42" i="1" s="1"/>
  <c r="H16" i="1"/>
  <c r="F16" i="1"/>
  <c r="D16" i="1"/>
  <c r="G121" i="1" l="1"/>
  <c r="G120" i="1" s="1"/>
  <c r="G137" i="1"/>
  <c r="I26" i="1"/>
  <c r="G33" i="1"/>
  <c r="F26" i="1"/>
  <c r="F25" i="1" s="1"/>
  <c r="F42" i="1" s="1"/>
  <c r="H33" i="1"/>
  <c r="H25" i="1" s="1"/>
  <c r="H42" i="1" s="1"/>
  <c r="G169" i="1"/>
  <c r="I94" i="1"/>
  <c r="E137" i="1"/>
  <c r="G215" i="1"/>
  <c r="F219" i="1"/>
  <c r="G219" i="1"/>
  <c r="H31" i="1"/>
  <c r="G26" i="1"/>
  <c r="G25" i="1" s="1"/>
  <c r="G42" i="1" s="1"/>
  <c r="H192" i="1"/>
  <c r="H121" i="1"/>
  <c r="H126" i="1"/>
  <c r="F273" i="1"/>
  <c r="G273" i="1"/>
  <c r="F304" i="1"/>
  <c r="G304" i="1" s="1"/>
  <c r="G294" i="1"/>
  <c r="H26" i="1"/>
  <c r="I25" i="1"/>
  <c r="I42" i="1" s="1"/>
  <c r="H189" i="1"/>
  <c r="F206" i="1"/>
  <c r="G206" i="1" s="1"/>
  <c r="H265" i="1"/>
  <c r="H262" i="1" s="1"/>
  <c r="H273" i="1" s="1"/>
  <c r="G323" i="1"/>
  <c r="G324" i="1" s="1"/>
  <c r="H116" i="1"/>
  <c r="H115" i="1" s="1"/>
  <c r="H34" i="1"/>
  <c r="G160" i="1"/>
  <c r="H120" i="1" l="1"/>
  <c r="H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<sst xmlns="http://schemas.openxmlformats.org/spreadsheetml/2006/main" count="393" uniqueCount="167">
  <si>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</si>
  <si>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</si>
  <si>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</si>
  <si>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</si>
  <si>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</si>
  <si>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</si>
  <si>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</si>
  <si>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</si>
  <si>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</si>
  <si>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</si>
  <si>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</si>
  <si>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</si>
  <si>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</si>
  <si>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</si>
  <si>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</si>
  <si>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</si>
  <si>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</si>
  <si>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</si>
  <si>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</si>
  <si>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</si>
  <si>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</si>
  <si>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</si>
  <si>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</si>
  <si>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</si>
  <si>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</si>
  <si>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</si>
  <si>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</si>
  <si>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</si>
  <si>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</si>
  <si>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</si>
  <si>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</si>
  <si>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</si>
  <si>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</si>
  <si>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</si>
  <si>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</si>
  <si>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</si>
  <si>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</si>
  <si>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</si>
  <si>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</si>
  <si>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</si>
  <si>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</si>
  <si>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</si>
  <si>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</si>
  <si>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</si>
  <si>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</si>
  <si>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</si>
  <si>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</si>
  <si>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</si>
  <si>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</si>
  <si>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</si>
  <si>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</si>
  <si>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</si>
  <si>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</si>
  <si>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</si>
  <si>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</si>
  <si>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</si>
  <si>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</si>
  <si>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</si>
  <si>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</si>
  <si>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</si>
  <si>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</si>
  <si>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</si>
  <si>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</si>
  <si>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</si>
  <si>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</si>
  <si>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</si>
  <si>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</si>
  <si>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</si>
  <si>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</si>
  <si>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</si>
  <si>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</si>
  <si>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</si>
  <si>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</si>
  <si>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</si>
  <si>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</si>
  <si>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</si>
  <si>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</si>
  <si>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</si>
  <si>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</si>
  <si>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</si>
  <si>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</si>
  <si>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</si>
  <si>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</si>
  <si>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</si>
  <si>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</si>
  <si>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</si>
  <si>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</si>
  <si>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</si>
  <si>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</si>
  <si>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</si>
  <si>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</si>
  <si>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</si>
  <si>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</si>
  <si>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</si>
  <si>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</si>
  <si>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</si>
  <si>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</si>
  <si>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</si>
  <si>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</si>
  <si>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</si>
  <si>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</si>
  <si>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</si>
  <si>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</si>
  <si>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</si>
  <si>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</si>
  <si>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</si>
  <si>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</si>
  <si>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</si>
  <si>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</si>
  <si>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</si>
  <si>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</si>
  <si>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</si>
  <si>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</si>
  <si>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</si>
  <si>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</si>
  <si>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</si>
  <si>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</si>
  <si>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</si>
  <si>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</si>
  <si>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</si>
  <si>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</si>
  <si>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</si>
  <si>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</si>
  <si>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</si>
  <si>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</si>
  <si>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</si>
  <si>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</si>
  <si>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</si>
  <si>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</si>
  <si>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</si>
  <si>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</si>
  <si>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</si>
  <si>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</si>
  <si>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</si>
  <si>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</si>
  <si>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</si>
  <si>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</si>
  <si>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</si>
  <si>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</si>
  <si>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</si>
  <si>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</si>
  <si>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</si>
  <si>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</si>
  <si>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</si>
  <si>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</si>
  <si>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</si>
  <si>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</si>
  <si>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</si>
  <si>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</si>
  <si>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</si>
  <si>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</si>
  <si>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</si>
  <si>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</si>
  <si>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</si>
  <si>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</si>
  <si>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</si>
  <si>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</si>
  <si>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</si>
  <si>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</si>
  <si>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55 tonn, men det legges til grunn at hele avsetningen tas</t>
  </si>
  <si>
    <t>4 Registrert rekreasjonsfiske utgjør 416 tonn, men det legges til grunn at hele avsetningen tas</t>
  </si>
  <si>
    <t>3 Registrert rekreasjonsfiske utgjør 788 tonn, men det legges til grunn at hele avsetningen tas</t>
  </si>
  <si>
    <t>FANGST UKE 51</t>
  </si>
  <si>
    <t>FANGST T.O.M UKE 51</t>
  </si>
  <si>
    <t>RESTKVOTER UKE 51</t>
  </si>
  <si>
    <t>FANGST T.O.M UKE 51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</si>
  <si>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5 083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</si>
</sst>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320" zoomScale="112" zoomScaleNormal="55" zoomScaleSheetLayoutView="100" zoomScalePageLayoutView="85" workbookViewId="0">
      <selection activeCell="E146" sqref="E14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9" customHeight="1" x14ac:dyDescent="0.3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41587</v>
      </c>
      <c r="F22" s="27">
        <f t="shared" ref="F22:I22" si="0">F24+F23</f>
        <v>655.94446000000005</v>
      </c>
      <c r="G22" s="27">
        <f t="shared" si="0"/>
        <v>36415.685359999996</v>
      </c>
      <c r="H22" s="10">
        <f t="shared" si="0"/>
        <v>5171.3146400000032</v>
      </c>
      <c r="I22" s="10">
        <f t="shared" si="0"/>
        <v>55664.6178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40825</v>
      </c>
      <c r="F23" s="22">
        <f>655.94446</f>
        <v>655.94446000000005</v>
      </c>
      <c r="G23" s="22">
        <f>35846.99681</f>
        <v>35846.996809999997</v>
      </c>
      <c r="H23" s="22">
        <f>E23-G23</f>
        <v>4978.0031900000031</v>
      </c>
      <c r="I23" s="22">
        <f>55004.12958</f>
        <v>55004.129580000001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762</v>
      </c>
      <c r="F24" s="165">
        <f>0</f>
        <v>0</v>
      </c>
      <c r="G24" s="22">
        <f>568.68855</f>
        <v>568.68854999999996</v>
      </c>
      <c r="H24" s="22">
        <f>E24-G24</f>
        <v>193.31145000000004</v>
      </c>
      <c r="I24" s="22">
        <f>660.48822</f>
        <v>660.48821999999996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121732</v>
      </c>
      <c r="F25" s="27">
        <f t="shared" ref="F25:I25" si="1">F33+F32+F26</f>
        <v>999.26374999999985</v>
      </c>
      <c r="G25" s="10">
        <f t="shared" si="1"/>
        <v>118889.34271999999</v>
      </c>
      <c r="H25" s="10">
        <f t="shared" si="1"/>
        <v>2842.6572800000031</v>
      </c>
      <c r="I25" s="10">
        <f t="shared" si="1"/>
        <v>136471.55204000001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94863</v>
      </c>
      <c r="F26" s="129">
        <f>F27+F28+F29+F30+F31</f>
        <v>323.65267999999998</v>
      </c>
      <c r="G26" s="129">
        <f>G27+G28+G29+G30+G31</f>
        <v>92833.694789999994</v>
      </c>
      <c r="H26" s="129">
        <f t="shared" ref="H26:I26" si="2">H27+H28+H29+H30+H31</f>
        <v>2029.3052100000023</v>
      </c>
      <c r="I26" s="129">
        <f t="shared" si="2"/>
        <v>108145.79699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25143</v>
      </c>
      <c r="F27" s="209">
        <f>106.95626 - F53</f>
        <v>46.95626</v>
      </c>
      <c r="G27" s="123">
        <f>26245.5231 - G53</f>
        <v>23432.523099999999</v>
      </c>
      <c r="H27" s="123">
        <f t="shared" ref="H27:H39" si="3">E27-G27</f>
        <v>1710.4769000000015</v>
      </c>
      <c r="I27" s="123">
        <f>28639.9655 - I53</f>
        <v>26445.965499999998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23988</v>
      </c>
      <c r="F28" s="123">
        <f>78.35528 - F54</f>
        <v>53.355279999999993</v>
      </c>
      <c r="G28" s="123">
        <f>26043.92629 - G54</f>
        <v>23326.926289999999</v>
      </c>
      <c r="H28" s="123">
        <f t="shared" si="3"/>
        <v>661.07371000000057</v>
      </c>
      <c r="I28" s="123">
        <f>31141.93508 - I54</f>
        <v>28610.935079999999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21861</v>
      </c>
      <c r="F29" s="123">
        <f>125.83864 - F55</f>
        <v>103.83864</v>
      </c>
      <c r="G29" s="123">
        <f>23899.51112 - G55</f>
        <v>21938.511119999999</v>
      </c>
      <c r="H29" s="123">
        <f t="shared" si="3"/>
        <v>-77.51111999999921</v>
      </c>
      <c r="I29" s="123">
        <f>27887.07474 - I55</f>
        <v>26344.07474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15640</v>
      </c>
      <c r="F30" s="123">
        <f>12.5025 - F56</f>
        <v>12.5025</v>
      </c>
      <c r="G30" s="123">
        <f>16644.73428 - G56</f>
        <v>15534.734280000001</v>
      </c>
      <c r="H30" s="123">
        <f t="shared" si="3"/>
        <v>105.26571999999942</v>
      </c>
      <c r="I30" s="123">
        <f>20476.82167 - I56</f>
        <v>19093.821670000001</v>
      </c>
      <c r="J30" s="63"/>
    </row>
    <row r="31" spans="1:10" ht="14.15" customHeight="1" x14ac:dyDescent="0.3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107</v>
      </c>
      <c r="G31" s="123">
        <f>G52</f>
        <v>8601</v>
      </c>
      <c r="H31" s="123">
        <f>E31-G31</f>
        <v>-370</v>
      </c>
      <c r="I31" s="123">
        <f>I52</f>
        <v>7651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12692</v>
      </c>
      <c r="E32" s="55">
        <v>13691</v>
      </c>
      <c r="F32" s="129">
        <f>548.63582</f>
        <v>548.63581999999997</v>
      </c>
      <c r="G32" s="129">
        <f>12825.68153</f>
        <v>12825.68153</v>
      </c>
      <c r="H32" s="129">
        <f t="shared" si="3"/>
        <v>865.31847000000016</v>
      </c>
      <c r="I32" s="129">
        <f>15439.37819</f>
        <v>15439.378189999999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10834</v>
      </c>
      <c r="E33" s="55">
        <f>E34+E35</f>
        <v>13178</v>
      </c>
      <c r="F33" s="129">
        <f>F34+F35</f>
        <v>126.97524999999999</v>
      </c>
      <c r="G33" s="129">
        <f>G34+G35</f>
        <v>13229.966399999999</v>
      </c>
      <c r="H33" s="129">
        <f t="shared" si="3"/>
        <v>-51.966399999999339</v>
      </c>
      <c r="I33" s="129">
        <f>I34+I35</f>
        <v>12886.37686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9874</v>
      </c>
      <c r="E34" s="61">
        <v>12218</v>
      </c>
      <c r="F34" s="123">
        <f>142.97525 - F57 - F58</f>
        <v>126.97524999999999</v>
      </c>
      <c r="G34" s="129">
        <f>15577.9664 - G57 - G58</f>
        <v>11505.966399999999</v>
      </c>
      <c r="H34" s="123">
        <f t="shared" si="3"/>
        <v>712.03360000000066</v>
      </c>
      <c r="I34" s="123">
        <f>15837.37686 - I57 - I58</f>
        <v>11741.37686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0</v>
      </c>
      <c r="G35" s="67">
        <f>G57</f>
        <v>1724</v>
      </c>
      <c r="H35" s="67">
        <f t="shared" si="3"/>
        <v>-764</v>
      </c>
      <c r="I35" s="67">
        <f>I57</f>
        <v>1145</v>
      </c>
      <c r="J35" s="63"/>
    </row>
    <row r="36" spans="1:10" ht="15.75" customHeight="1" x14ac:dyDescent="0.3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33</v>
      </c>
      <c r="D37" s="140">
        <v>855</v>
      </c>
      <c r="E37" s="140">
        <v>855</v>
      </c>
      <c r="F37" s="95">
        <f>11.523</f>
        <v>11.523</v>
      </c>
      <c r="G37" s="95">
        <f>793.54101</f>
        <v>793.54101000000003</v>
      </c>
      <c r="H37" s="95">
        <f t="shared" si="3"/>
        <v>61.458989999999972</v>
      </c>
      <c r="I37" s="95">
        <f>547.72352</f>
        <v>547.72352000000001</v>
      </c>
      <c r="J37" s="267"/>
    </row>
    <row r="38" spans="1:10" ht="17.25" customHeight="1" x14ac:dyDescent="0.3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16</v>
      </c>
      <c r="G38" s="95">
        <f>G58</f>
        <v>2348</v>
      </c>
      <c r="H38" s="95">
        <f t="shared" si="3"/>
        <v>652</v>
      </c>
      <c r="I38" s="95">
        <f>I58</f>
        <v>2951</v>
      </c>
      <c r="J38" s="267"/>
    </row>
    <row r="39" spans="1:10" ht="17.25" customHeight="1" x14ac:dyDescent="0.35">
      <c r="A39" s="1"/>
      <c r="B39" s="277"/>
      <c r="C39" s="70" t="s">
        <v>35</v>
      </c>
      <c r="D39" s="140">
        <v>7000</v>
      </c>
      <c r="E39" s="140">
        <v>7000</v>
      </c>
      <c r="F39" s="95">
        <f>2.2264</f>
        <v>2.2263999999999999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37</v>
      </c>
      <c r="D40" s="140">
        <v>450</v>
      </c>
      <c r="E40" s="140">
        <v>450</v>
      </c>
      <c r="F40" s="95">
        <f>0.01416</f>
        <v>1.4160000000000001E-2</v>
      </c>
      <c r="G40" s="95">
        <f>392.69483</f>
        <v>392.69483000000002</v>
      </c>
      <c r="H40" s="95">
        <f>E40-G40</f>
        <v>57.305169999999976</v>
      </c>
      <c r="I40" s="95">
        <f>379.17055</f>
        <v>379.17054999999999</v>
      </c>
      <c r="J40" s="267"/>
    </row>
    <row r="41" spans="1:10" ht="14.15" customHeight="1" x14ac:dyDescent="0.35">
      <c r="A41" s="1"/>
      <c r="B41" s="277"/>
      <c r="C41" s="70" t="s">
        <v>38</v>
      </c>
      <c r="D41" s="140"/>
      <c r="E41" s="136"/>
      <c r="F41" s="136">
        <f>0</f>
        <v>0</v>
      </c>
      <c r="G41" s="136">
        <f>220.03811</f>
        <v>220.03810999999999</v>
      </c>
      <c r="H41" s="136">
        <f t="shared" ref="H41" si="4">E41-G41</f>
        <v>-220.03810999999999</v>
      </c>
      <c r="I41" s="136">
        <f>173.82154</f>
        <v>173.82154</v>
      </c>
      <c r="J41" s="267"/>
    </row>
    <row r="42" spans="1:10" ht="16.5" customHeight="1" x14ac:dyDescent="0.3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175624</v>
      </c>
      <c r="F42" s="73">
        <f t="shared" ref="F42:I42" si="5">F22+F25+F36+F37+F38+F39+F40+F41</f>
        <v>1684.9717699999997</v>
      </c>
      <c r="G42" s="73">
        <f t="shared" si="5"/>
        <v>166339.55842999998</v>
      </c>
      <c r="H42" s="73">
        <f t="shared" si="5"/>
        <v>9284.4415700000063</v>
      </c>
      <c r="I42" s="73">
        <f t="shared" si="5"/>
        <v>203536.24665000004</v>
      </c>
      <c r="J42" s="267"/>
    </row>
    <row r="43" spans="1:10" ht="14.15" customHeight="1" x14ac:dyDescent="0.3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5" customHeight="1" x14ac:dyDescent="0.3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107</v>
      </c>
      <c r="G52" s="10">
        <f>G56+G55+G54+G53</f>
        <v>8601</v>
      </c>
      <c r="H52" s="321">
        <f>E52-G52</f>
        <v>-370</v>
      </c>
      <c r="I52" s="10">
        <f>I56+I55+I54+I53</f>
        <v>7651</v>
      </c>
      <c r="J52" s="117"/>
    </row>
    <row r="53" spans="1:10" ht="14.15" customHeight="1" x14ac:dyDescent="0.35">
      <c r="A53" s="101"/>
      <c r="B53" s="24"/>
      <c r="C53" s="60" t="s">
        <v>24</v>
      </c>
      <c r="D53" s="322"/>
      <c r="E53" s="322"/>
      <c r="F53" s="123">
        <v>60</v>
      </c>
      <c r="G53" s="123">
        <v>2813</v>
      </c>
      <c r="H53" s="322"/>
      <c r="I53" s="123">
        <v>2194</v>
      </c>
      <c r="J53" s="117"/>
    </row>
    <row r="54" spans="1:10" ht="14.15" customHeight="1" x14ac:dyDescent="0.35">
      <c r="A54" s="101"/>
      <c r="B54" s="24"/>
      <c r="C54" s="60" t="s">
        <v>25</v>
      </c>
      <c r="D54" s="322"/>
      <c r="E54" s="322"/>
      <c r="F54" s="123">
        <v>25</v>
      </c>
      <c r="G54" s="123">
        <v>2717</v>
      </c>
      <c r="H54" s="322"/>
      <c r="I54" s="123">
        <v>2531</v>
      </c>
      <c r="J54" s="267"/>
    </row>
    <row r="55" spans="1:10" ht="14.15" customHeight="1" x14ac:dyDescent="0.35">
      <c r="A55" s="101"/>
      <c r="B55" s="24"/>
      <c r="C55" s="60" t="s">
        <v>26</v>
      </c>
      <c r="D55" s="322"/>
      <c r="E55" s="322"/>
      <c r="F55" s="123">
        <v>22</v>
      </c>
      <c r="G55" s="123">
        <v>1961</v>
      </c>
      <c r="H55" s="322"/>
      <c r="I55" s="123">
        <v>1543</v>
      </c>
      <c r="J55" s="117"/>
    </row>
    <row r="56" spans="1:10" ht="14.15" customHeight="1" x14ac:dyDescent="0.35">
      <c r="A56" s="101"/>
      <c r="B56" s="24"/>
      <c r="C56" s="84" t="s">
        <v>27</v>
      </c>
      <c r="D56" s="323"/>
      <c r="E56" s="323"/>
      <c r="F56" s="186">
        <v>0</v>
      </c>
      <c r="G56" s="186">
        <v>1110</v>
      </c>
      <c r="H56" s="323"/>
      <c r="I56" s="186">
        <v>1383</v>
      </c>
      <c r="J56" s="117"/>
    </row>
    <row r="57" spans="1:10" ht="14.15" customHeight="1" x14ac:dyDescent="0.35">
      <c r="A57" s="101"/>
      <c r="B57" s="24"/>
      <c r="C57" s="85" t="s">
        <v>43</v>
      </c>
      <c r="D57" s="92">
        <v>960</v>
      </c>
      <c r="E57" s="92">
        <v>960</v>
      </c>
      <c r="F57" s="92">
        <v>0</v>
      </c>
      <c r="G57" s="92">
        <v>1724</v>
      </c>
      <c r="H57" s="92">
        <f>E57-G57</f>
        <v>-764</v>
      </c>
      <c r="I57" s="92">
        <v>1145</v>
      </c>
      <c r="J57" s="267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16</v>
      </c>
      <c r="G58" s="136">
        <v>2348</v>
      </c>
      <c r="H58" s="136">
        <f>E58-G58</f>
        <v>652</v>
      </c>
      <c r="I58" s="136">
        <v>2951</v>
      </c>
      <c r="J58" s="117"/>
    </row>
    <row r="59" spans="1:10" ht="14.15" customHeight="1" x14ac:dyDescent="0.3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3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26122</v>
      </c>
      <c r="F79" s="10">
        <f t="shared" ref="F79:I79" si="6">F81+F80</f>
        <v>317.28701000000001</v>
      </c>
      <c r="G79" s="10">
        <f t="shared" si="6"/>
        <v>24806.840889999999</v>
      </c>
      <c r="H79" s="10">
        <f t="shared" si="6"/>
        <v>1315.1591099999991</v>
      </c>
      <c r="I79" s="10">
        <f t="shared" si="6"/>
        <v>25548.321919999998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25297</v>
      </c>
      <c r="F80" s="22">
        <f>317.28701</f>
        <v>317.28701000000001</v>
      </c>
      <c r="G80" s="22">
        <f>24181.57888</f>
        <v>24181.578880000001</v>
      </c>
      <c r="H80" s="22">
        <f>E80-G80</f>
        <v>1115.4211199999991</v>
      </c>
      <c r="I80" s="22">
        <f>24734.50577</f>
        <v>24734.50577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625.26201</f>
        <v>625.26201000000003</v>
      </c>
      <c r="H81" s="48">
        <f>E81-G81</f>
        <v>199.73798999999997</v>
      </c>
      <c r="I81" s="48">
        <f>813.81615</f>
        <v>813.81614999999999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44110</v>
      </c>
      <c r="F82" s="10">
        <f t="shared" ref="F82:I82" si="7">F83+F88+F89</f>
        <v>388.77828</v>
      </c>
      <c r="G82" s="10">
        <f t="shared" si="7"/>
        <v>39739.759510000004</v>
      </c>
      <c r="H82" s="10">
        <f t="shared" si="7"/>
        <v>4370.2404900000001</v>
      </c>
      <c r="I82" s="10">
        <f t="shared" si="7"/>
        <v>44717.450230000002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32486</v>
      </c>
      <c r="F83" s="129">
        <f t="shared" ref="F83:I83" si="8">F84+F85+F86+F87</f>
        <v>92.984660000000005</v>
      </c>
      <c r="G83" s="129">
        <f t="shared" si="8"/>
        <v>30381.609450000004</v>
      </c>
      <c r="H83" s="129">
        <f t="shared" si="8"/>
        <v>2104.3905500000001</v>
      </c>
      <c r="I83" s="129">
        <f t="shared" si="8"/>
        <v>34920.495309999998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40.90498</f>
        <v>40.904980000000002</v>
      </c>
      <c r="G84" s="123">
        <f>5270.96403</f>
        <v>5270.9640300000001</v>
      </c>
      <c r="H84" s="123">
        <f t="shared" ref="H84:H91" si="9">E84-G84</f>
        <v>3733.0359699999999</v>
      </c>
      <c r="I84" s="123">
        <f>6323.09986</f>
        <v>6323.0998600000003</v>
      </c>
      <c r="J84" s="267"/>
    </row>
    <row r="85" spans="1:10" ht="14.15" customHeight="1" x14ac:dyDescent="0.35">
      <c r="A85" s="192"/>
      <c r="B85" s="176"/>
      <c r="C85" s="60" t="s">
        <v>48</v>
      </c>
      <c r="D85" s="61">
        <v>8674</v>
      </c>
      <c r="E85" s="61">
        <v>9068</v>
      </c>
      <c r="F85" s="123">
        <f>8.30574</f>
        <v>8.3057400000000001</v>
      </c>
      <c r="G85" s="123">
        <f>7994.81398</f>
        <v>7994.8139799999999</v>
      </c>
      <c r="H85" s="123">
        <f t="shared" si="9"/>
        <v>1073.1860200000001</v>
      </c>
      <c r="I85" s="123">
        <f>11038.9508</f>
        <v>11038.950800000001</v>
      </c>
      <c r="J85" s="267"/>
    </row>
    <row r="86" spans="1:10" ht="14.15" customHeight="1" x14ac:dyDescent="0.35">
      <c r="A86" s="192"/>
      <c r="B86" s="176"/>
      <c r="C86" s="60" t="s">
        <v>49</v>
      </c>
      <c r="D86" s="61">
        <v>8266</v>
      </c>
      <c r="E86" s="61">
        <v>8642</v>
      </c>
      <c r="F86" s="123">
        <f>43.66054</f>
        <v>43.660539999999997</v>
      </c>
      <c r="G86" s="123">
        <f>8876.31482</f>
        <v>8876.3148199999996</v>
      </c>
      <c r="H86" s="123">
        <f t="shared" si="9"/>
        <v>-234.3148199999996</v>
      </c>
      <c r="I86" s="123">
        <f>10439.20328</f>
        <v>10439.20328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5772</v>
      </c>
      <c r="F87" s="123">
        <f>0.1134</f>
        <v>0.1134</v>
      </c>
      <c r="G87" s="123">
        <f>8239.51662</f>
        <v>8239.5166200000003</v>
      </c>
      <c r="H87" s="123">
        <f t="shared" si="9"/>
        <v>-2467.5166200000003</v>
      </c>
      <c r="I87" s="123">
        <f>7119.24137</f>
        <v>7119.2413699999997</v>
      </c>
      <c r="J87" s="267"/>
    </row>
    <row r="88" spans="1:10" ht="14.15" customHeight="1" x14ac:dyDescent="0.35">
      <c r="A88" s="192"/>
      <c r="B88" s="176"/>
      <c r="C88" s="54" t="s">
        <v>50</v>
      </c>
      <c r="D88" s="55">
        <v>7333</v>
      </c>
      <c r="E88" s="55">
        <v>8117</v>
      </c>
      <c r="F88" s="129">
        <f>262.7584</f>
        <v>262.75839999999999</v>
      </c>
      <c r="G88" s="129">
        <f>6569.38028</f>
        <v>6569.3802800000003</v>
      </c>
      <c r="H88" s="129">
        <f t="shared" si="9"/>
        <v>1547.6197199999997</v>
      </c>
      <c r="I88" s="129">
        <f>6904.58802</f>
        <v>6904.5880200000001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33.03522</f>
        <v>33.035220000000002</v>
      </c>
      <c r="G89" s="72">
        <f>2788.76978</f>
        <v>2788.7697800000001</v>
      </c>
      <c r="H89" s="72">
        <f t="shared" si="9"/>
        <v>718.23021999999992</v>
      </c>
      <c r="I89" s="72">
        <f>2892.3669</f>
        <v>2892.3669</v>
      </c>
      <c r="J89" s="267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0.0196</f>
        <v>1.9599999999999999E-2</v>
      </c>
      <c r="G90" s="95">
        <f>45.01235</f>
        <v>45.012349999999998</v>
      </c>
      <c r="H90" s="95">
        <f t="shared" si="9"/>
        <v>273.98765000000003</v>
      </c>
      <c r="I90" s="95">
        <f>39.06244</f>
        <v>39.062440000000002</v>
      </c>
      <c r="J90" s="267"/>
    </row>
    <row r="91" spans="1:10" ht="18" customHeight="1" x14ac:dyDescent="0.35">
      <c r="A91" s="1"/>
      <c r="B91" s="277"/>
      <c r="C91" s="70" t="s">
        <v>51</v>
      </c>
      <c r="D91" s="140">
        <v>300</v>
      </c>
      <c r="E91" s="140">
        <v>300</v>
      </c>
      <c r="F91" s="136">
        <f>0.12921</f>
        <v>0.12920999999999999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37</v>
      </c>
      <c r="D92" s="140">
        <v>50</v>
      </c>
      <c r="E92" s="140">
        <v>50</v>
      </c>
      <c r="F92" s="95">
        <f>0</f>
        <v>0</v>
      </c>
      <c r="G92" s="95">
        <f>15.53762</f>
        <v>15.53762</v>
      </c>
      <c r="H92" s="136">
        <f>E92-G92</f>
        <v>34.462379999999996</v>
      </c>
      <c r="I92" s="95">
        <f>57.72846</f>
        <v>57.728459999999998</v>
      </c>
      <c r="J92" s="267"/>
    </row>
    <row r="93" spans="1:10" ht="18" customHeight="1" x14ac:dyDescent="0.35">
      <c r="A93" s="1"/>
      <c r="B93" s="277"/>
      <c r="C93" s="89" t="s">
        <v>52</v>
      </c>
      <c r="D93" s="140"/>
      <c r="E93" s="136"/>
      <c r="F93" s="136">
        <f>0</f>
        <v>0</v>
      </c>
      <c r="G93" s="136">
        <f>40.83824</f>
        <v>40.838239999999999</v>
      </c>
      <c r="H93" s="136">
        <f t="shared" ref="H93" si="10">E93-G93</f>
        <v>-40.838239999999999</v>
      </c>
      <c r="I93" s="136">
        <f>172.94728</f>
        <v>172.94728000000001</v>
      </c>
      <c r="J93" s="267"/>
    </row>
    <row r="94" spans="1:10" ht="16.5" customHeight="1" x14ac:dyDescent="0.3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70901</v>
      </c>
      <c r="F94" s="73">
        <f t="shared" ref="F94:I94" si="12">F79+F82+F90+F91+F92+F93</f>
        <v>706.21409999999992</v>
      </c>
      <c r="G94" s="73">
        <f t="shared" si="12"/>
        <v>64947.98861</v>
      </c>
      <c r="H94" s="73">
        <f t="shared" si="12"/>
        <v>5953.0113899999988</v>
      </c>
      <c r="I94" s="73">
        <f t="shared" si="12"/>
        <v>70835.51032999999</v>
      </c>
      <c r="J94" s="267"/>
    </row>
    <row r="95" spans="1:10" ht="13.5" customHeight="1" x14ac:dyDescent="0.3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3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5" customHeight="1" x14ac:dyDescent="0.3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389.53719000000001</v>
      </c>
      <c r="G115" s="10">
        <f t="shared" si="13"/>
        <v>49330.162450000003</v>
      </c>
      <c r="H115" s="10">
        <f t="shared" si="13"/>
        <v>21684.837549999997</v>
      </c>
      <c r="I115" s="10">
        <f t="shared" si="13"/>
        <v>68332.855580000003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389.53719</f>
        <v>389.53719000000001</v>
      </c>
      <c r="G116" s="22">
        <f>43621.53882</f>
        <v>43621.538820000002</v>
      </c>
      <c r="H116" s="22">
        <f>E116-G116</f>
        <v>12828.461179999998</v>
      </c>
      <c r="I116" s="22">
        <f>61113.79901</f>
        <v>61113.799010000002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5619.54303</f>
        <v>5619.5430299999998</v>
      </c>
      <c r="H117" s="22">
        <f>E117-G117</f>
        <v>8445.4569699999993</v>
      </c>
      <c r="I117" s="22">
        <f>7142.54242</f>
        <v>7142.5424199999998</v>
      </c>
      <c r="J117" s="267"/>
    </row>
    <row r="118" spans="1:10" ht="13.5" customHeight="1" x14ac:dyDescent="0.3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89.0806</f>
        <v>89.080600000000004</v>
      </c>
      <c r="H118" s="53">
        <f>E118-G118</f>
        <v>410.9194</v>
      </c>
      <c r="I118" s="22">
        <f>76.51415</f>
        <v>76.514150000000001</v>
      </c>
      <c r="J118" s="267"/>
    </row>
    <row r="119" spans="1:10" ht="14.25" customHeight="1" x14ac:dyDescent="0.35">
      <c r="A119" s="65"/>
      <c r="B119" s="75"/>
      <c r="C119" s="85" t="s">
        <v>61</v>
      </c>
      <c r="D119" s="87">
        <v>43775</v>
      </c>
      <c r="E119" s="87">
        <v>51430</v>
      </c>
      <c r="F119" s="92">
        <f>0</f>
        <v>0</v>
      </c>
      <c r="G119" s="92">
        <f>30209.0557+5082.6184</f>
        <v>35291.674100000004</v>
      </c>
      <c r="H119" s="92">
        <f>E119-G119</f>
        <v>16138.325899999996</v>
      </c>
      <c r="I119" s="92">
        <f>16582.3618</f>
        <v>16582.361799999999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578.32457999999986</v>
      </c>
      <c r="G120" s="91">
        <f t="shared" ref="G120" si="14">G121+G126+G129</f>
        <v>52538.38306</v>
      </c>
      <c r="H120" s="91">
        <f>H121+H126+H129</f>
        <v>22506.616940000004</v>
      </c>
      <c r="I120" s="91">
        <f>I121+I126+I129</f>
        <v>81274.370470000009</v>
      </c>
      <c r="J120" s="117"/>
    </row>
    <row r="121" spans="1:10" ht="14.15" customHeight="1" x14ac:dyDescent="0.3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517.34958999999992</v>
      </c>
      <c r="G121" s="121">
        <f>G122+G123+G125+G124</f>
        <v>39596.838629999998</v>
      </c>
      <c r="H121" s="121">
        <f>H122+H123+H124+H125</f>
        <v>16762.161370000002</v>
      </c>
      <c r="I121" s="121">
        <f>I122+I123+I124+I125</f>
        <v>63510.155190000005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99.97854</f>
        <v>99.978539999999995</v>
      </c>
      <c r="G122" s="123">
        <f>10142.72853</f>
        <v>10142.72853</v>
      </c>
      <c r="H122" s="123">
        <f>E122-G122</f>
        <v>5873.2714699999997</v>
      </c>
      <c r="I122" s="123">
        <f>12506.85486</f>
        <v>12506.854859999999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14094</v>
      </c>
      <c r="E123" s="61">
        <v>14854</v>
      </c>
      <c r="F123" s="123">
        <f>89.44255</f>
        <v>89.442549999999997</v>
      </c>
      <c r="G123" s="123">
        <f>11617.20182-282.9332</f>
        <v>11334.268620000001</v>
      </c>
      <c r="H123" s="123">
        <f>E123-G123</f>
        <v>3519.7313799999993</v>
      </c>
      <c r="I123" s="123">
        <f>16641.73527</f>
        <v>16641.735270000001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12169</v>
      </c>
      <c r="E124" s="61">
        <v>12872</v>
      </c>
      <c r="F124" s="123">
        <f>163.1172</f>
        <v>163.1172</v>
      </c>
      <c r="G124" s="123">
        <f>10728.78084-1065.0903</f>
        <v>9663.6905399999996</v>
      </c>
      <c r="H124" s="123">
        <f>E124-G124</f>
        <v>3208.3094600000004</v>
      </c>
      <c r="I124" s="123">
        <f>17210.05281</f>
        <v>17210.052810000001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164.8113</f>
        <v>164.81129999999999</v>
      </c>
      <c r="G125" s="123">
        <f>12190.74584-3734.5949</f>
        <v>8456.1509399999995</v>
      </c>
      <c r="H125" s="123">
        <f>E125-G125</f>
        <v>4160.8490600000005</v>
      </c>
      <c r="I125" s="123">
        <f>17151.51225</f>
        <v>17151.51225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21.436019999999999</v>
      </c>
      <c r="G126" s="129">
        <f>SUM(G127:G128)</f>
        <v>6572.9877999999999</v>
      </c>
      <c r="H126" s="129">
        <f>H127+H128</f>
        <v>1169.0121999999999</v>
      </c>
      <c r="I126" s="129">
        <f>SUM(I127:I128)</f>
        <v>10773.247000000001</v>
      </c>
      <c r="J126" s="130"/>
    </row>
    <row r="127" spans="1:10" ht="14.15" customHeight="1" x14ac:dyDescent="0.35">
      <c r="A127" s="1"/>
      <c r="B127" s="277"/>
      <c r="C127" s="60" t="s">
        <v>63</v>
      </c>
      <c r="D127" s="61">
        <v>6819</v>
      </c>
      <c r="E127" s="61">
        <v>7242</v>
      </c>
      <c r="F127" s="123">
        <f>20.94867</f>
        <v>20.94867</v>
      </c>
      <c r="G127" s="123">
        <f>6360.11848</f>
        <v>6360.1184800000001</v>
      </c>
      <c r="H127" s="123">
        <f t="shared" ref="H127:H135" si="15">E127-G127</f>
        <v>881.88151999999991</v>
      </c>
      <c r="I127" s="123">
        <f>10289.89146</f>
        <v>10289.891460000001</v>
      </c>
      <c r="J127" s="117"/>
    </row>
    <row r="128" spans="1:10" ht="15" customHeight="1" x14ac:dyDescent="0.35">
      <c r="A128" s="1"/>
      <c r="B128" s="51"/>
      <c r="C128" s="60" t="s">
        <v>64</v>
      </c>
      <c r="D128" s="61">
        <v>500</v>
      </c>
      <c r="E128" s="61">
        <v>500</v>
      </c>
      <c r="F128" s="123">
        <f>0.48735</f>
        <v>0.48735000000000001</v>
      </c>
      <c r="G128" s="123">
        <f>212.86932</f>
        <v>212.86931999999999</v>
      </c>
      <c r="H128" s="123">
        <f t="shared" si="15"/>
        <v>287.13067999999998</v>
      </c>
      <c r="I128" s="123">
        <f>483.35554</f>
        <v>483.35554000000002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39.53897</f>
        <v>39.538969999999999</v>
      </c>
      <c r="G129" s="72">
        <f>6368.55663</f>
        <v>6368.55663</v>
      </c>
      <c r="H129" s="72">
        <f t="shared" si="15"/>
        <v>4575.44337</v>
      </c>
      <c r="I129" s="72">
        <f>6990.96828</f>
        <v>6990.96828</v>
      </c>
      <c r="J129" s="117"/>
    </row>
    <row r="130" spans="1:10" ht="15.75" customHeight="1" x14ac:dyDescent="0.35">
      <c r="A130" s="1"/>
      <c r="B130" s="277"/>
      <c r="C130" s="139" t="s">
        <v>33</v>
      </c>
      <c r="D130" s="140">
        <v>146</v>
      </c>
      <c r="E130" s="140">
        <v>146</v>
      </c>
      <c r="F130" s="136">
        <f>3.82725</f>
        <v>3.8272499999999998</v>
      </c>
      <c r="G130" s="136">
        <f>25.49376</f>
        <v>25.493760000000002</v>
      </c>
      <c r="H130" s="136">
        <f t="shared" si="15"/>
        <v>120.50623999999999</v>
      </c>
      <c r="I130" s="136">
        <f>17.64483</f>
        <v>17.644829999999999</v>
      </c>
      <c r="J130" s="117"/>
    </row>
    <row r="131" spans="1:10" ht="15.75" customHeight="1" x14ac:dyDescent="0.3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1.368</f>
        <v>1.3680000000000001</v>
      </c>
      <c r="H131" s="95">
        <f t="shared" si="15"/>
        <v>348.63200000000001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66</v>
      </c>
      <c r="D132" s="140">
        <v>2000</v>
      </c>
      <c r="E132" s="140">
        <v>2000</v>
      </c>
      <c r="F132" s="136">
        <f>2.1812</f>
        <v>2.1812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67</v>
      </c>
      <c r="D134" s="140">
        <v>313</v>
      </c>
      <c r="E134" s="140">
        <v>313</v>
      </c>
      <c r="F134" s="95">
        <f>0</f>
        <v>0</v>
      </c>
      <c r="G134" s="95">
        <f>94.46888</f>
        <v>94.468879999999999</v>
      </c>
      <c r="H134" s="136">
        <f t="shared" si="15"/>
        <v>218.53111999999999</v>
      </c>
      <c r="I134" s="95">
        <f>92.62376</f>
        <v>92.623760000000004</v>
      </c>
      <c r="J134" s="117"/>
    </row>
    <row r="135" spans="1:10" ht="15" customHeight="1" x14ac:dyDescent="0.35">
      <c r="A135" s="1"/>
      <c r="B135" s="277"/>
      <c r="C135" s="139" t="s">
        <v>38</v>
      </c>
      <c r="D135" s="142"/>
      <c r="E135" s="140"/>
      <c r="F135" s="136">
        <f>0</f>
        <v>0</v>
      </c>
      <c r="G135" s="136">
        <f>278.33759</f>
        <v>278.33758999999998</v>
      </c>
      <c r="H135" s="136">
        <f t="shared" si="15"/>
        <v>-278.33758999999998</v>
      </c>
      <c r="I135" s="136">
        <f>300.98824</f>
        <v>300.98824000000002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973.8702199999999</v>
      </c>
      <c r="G137" s="73">
        <f>G115+G119+G120+G130+G131+G132+G133+G134+G135</f>
        <v>139559.88784000001</v>
      </c>
      <c r="H137" s="73">
        <f>H115+H119+H120+H130+H131+H132+H133+H134+H135</f>
        <v>60739.112159999997</v>
      </c>
      <c r="I137" s="73">
        <f>I115+I119+I120+I130+I131+I132+I133+I134+I135</f>
        <v>168856.88068</v>
      </c>
      <c r="J137" s="155"/>
    </row>
    <row r="138" spans="1:10" ht="14.25" customHeight="1" x14ac:dyDescent="0.3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5" customHeight="1" x14ac:dyDescent="0.35">
      <c r="A160" s="1"/>
      <c r="B160" s="277"/>
      <c r="C160" s="138" t="s">
        <v>71</v>
      </c>
      <c r="D160" s="91">
        <v>3762</v>
      </c>
      <c r="E160" s="297">
        <f>41.94198</f>
        <v>41.941980000000001</v>
      </c>
      <c r="F160" s="297">
        <f>1901.60027</f>
        <v>1901.6002699999999</v>
      </c>
      <c r="G160" s="42">
        <f>D160-F160-F161</f>
        <v>319.51530000000002</v>
      </c>
      <c r="H160" s="297">
        <f>2133.61192</f>
        <v>2133.6119199999998</v>
      </c>
      <c r="I160" s="1"/>
      <c r="J160" s="117"/>
    </row>
    <row r="161" spans="1:10" ht="14.15" customHeight="1" x14ac:dyDescent="0.35">
      <c r="A161" s="1"/>
      <c r="B161" s="277"/>
      <c r="C161" s="133" t="s">
        <v>50</v>
      </c>
      <c r="D161" s="175"/>
      <c r="E161" s="148">
        <f>16.63214</f>
        <v>16.63214</v>
      </c>
      <c r="F161" s="148">
        <f>1540.88443</f>
        <v>1540.8844300000001</v>
      </c>
      <c r="G161" s="219"/>
      <c r="H161" s="148">
        <f>1708.94417</f>
        <v>1708.94417</v>
      </c>
      <c r="I161" s="1"/>
      <c r="J161" s="117"/>
    </row>
    <row r="162" spans="1:10" ht="15.65" customHeight="1" x14ac:dyDescent="0.35">
      <c r="A162" s="1"/>
      <c r="B162" s="277"/>
      <c r="C162" s="163" t="s">
        <v>72</v>
      </c>
      <c r="D162" s="95">
        <v>200</v>
      </c>
      <c r="E162" s="166">
        <f>0</f>
        <v>0</v>
      </c>
      <c r="F162" s="166">
        <f>100.64239</f>
        <v>100.64239000000001</v>
      </c>
      <c r="G162" s="166">
        <f>D162-F162</f>
        <v>99.357609999999994</v>
      </c>
      <c r="H162" s="166">
        <f>128.70179</f>
        <v>128.70178999999999</v>
      </c>
      <c r="I162" s="1"/>
      <c r="J162" s="117"/>
    </row>
    <row r="163" spans="1:10" ht="14.15" customHeight="1" x14ac:dyDescent="0.35">
      <c r="A163" s="65"/>
      <c r="B163" s="75"/>
      <c r="C163" s="174" t="s">
        <v>73</v>
      </c>
      <c r="D163" s="175">
        <v>5642</v>
      </c>
      <c r="E163" s="175">
        <f>E164+E165+E166</f>
        <v>0.64107999999999998</v>
      </c>
      <c r="F163" s="175">
        <f>F164+F165+F166</f>
        <v>5513.38465</v>
      </c>
      <c r="G163" s="175">
        <f>D163-F163</f>
        <v>128.61535000000003</v>
      </c>
      <c r="H163" s="175">
        <f>H164+H165+H166</f>
        <v>6002.6437899999992</v>
      </c>
      <c r="I163" s="65"/>
      <c r="J163" s="111"/>
    </row>
    <row r="164" spans="1:10" ht="14.15" customHeight="1" x14ac:dyDescent="0.35">
      <c r="A164" s="192"/>
      <c r="B164" s="176"/>
      <c r="C164" s="177" t="s">
        <v>74</v>
      </c>
      <c r="D164" s="123"/>
      <c r="E164" s="123">
        <f>0.51824</f>
        <v>0.51824000000000003</v>
      </c>
      <c r="F164" s="123">
        <f>3088.26549</f>
        <v>3088.2654900000002</v>
      </c>
      <c r="G164" s="123"/>
      <c r="H164" s="123">
        <f>3093.53655</f>
        <v>3093.5365499999998</v>
      </c>
      <c r="I164" s="181"/>
      <c r="J164" s="126"/>
    </row>
    <row r="165" spans="1:10" ht="14.15" customHeight="1" x14ac:dyDescent="0.35">
      <c r="A165" s="192"/>
      <c r="B165" s="176"/>
      <c r="C165" s="177" t="s">
        <v>75</v>
      </c>
      <c r="D165" s="123"/>
      <c r="E165" s="123">
        <f>0.08924</f>
        <v>8.924E-2</v>
      </c>
      <c r="F165" s="123">
        <f>1609.889</f>
        <v>1609.8889999999999</v>
      </c>
      <c r="G165" s="123"/>
      <c r="H165" s="123">
        <f>1834.79023</f>
        <v>1834.7902300000001</v>
      </c>
      <c r="I165" s="181"/>
      <c r="J165" s="182"/>
    </row>
    <row r="166" spans="1:10" ht="14.15" customHeight="1" x14ac:dyDescent="0.35">
      <c r="A166" s="192"/>
      <c r="B166" s="176"/>
      <c r="C166" s="183" t="s">
        <v>76</v>
      </c>
      <c r="D166" s="186"/>
      <c r="E166" s="186">
        <f>0.0336</f>
        <v>3.3599999999999998E-2</v>
      </c>
      <c r="F166" s="186">
        <f>815.23016</f>
        <v>815.23015999999996</v>
      </c>
      <c r="G166" s="186"/>
      <c r="H166" s="186">
        <f>1074.31701</f>
        <v>1074.31701</v>
      </c>
      <c r="I166" s="181"/>
      <c r="J166" s="182"/>
    </row>
    <row r="167" spans="1:10" ht="14.15" customHeight="1" x14ac:dyDescent="0.3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5.4845</f>
        <v>5.4844999999999997</v>
      </c>
      <c r="G167" s="136">
        <f>D167-F167</f>
        <v>65.515500000000003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59.215200000000003</v>
      </c>
      <c r="F169" s="188">
        <f>F160+F161+F162+F163+F167+F168</f>
        <v>9061.9962400000004</v>
      </c>
      <c r="G169" s="188">
        <f>D169-F169</f>
        <v>613.0037599999996</v>
      </c>
      <c r="H169" s="188">
        <f>H160+H161+H162+H163+H167+H168</f>
        <v>9973.9016699999993</v>
      </c>
      <c r="I169" s="159"/>
      <c r="J169" s="155"/>
    </row>
    <row r="170" spans="1:10" ht="42" customHeight="1" x14ac:dyDescent="0.3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37.12781</f>
        <v>37.127809999999997</v>
      </c>
      <c r="G189" s="124">
        <f>45754.4685</f>
        <v>45754.468500000003</v>
      </c>
      <c r="H189" s="124">
        <f>E189-G189</f>
        <v>-2419.4685000000027</v>
      </c>
      <c r="I189" s="124">
        <f>44820.91815</f>
        <v>44820.918149999998</v>
      </c>
      <c r="J189" s="117"/>
    </row>
    <row r="190" spans="1:10" ht="15" customHeight="1" x14ac:dyDescent="0.35">
      <c r="A190" s="1"/>
      <c r="B190" s="277"/>
      <c r="C190" s="90" t="s">
        <v>64</v>
      </c>
      <c r="D190" s="124">
        <v>100</v>
      </c>
      <c r="E190" s="124">
        <v>100</v>
      </c>
      <c r="F190" s="124">
        <f>0.014</f>
        <v>1.4E-2</v>
      </c>
      <c r="G190" s="124">
        <f>50.7711</f>
        <v>50.771099999999997</v>
      </c>
      <c r="H190" s="124">
        <f>E190-G190</f>
        <v>49.228900000000003</v>
      </c>
      <c r="I190" s="124">
        <f>44.77344</f>
        <v>44.773440000000001</v>
      </c>
      <c r="J190" s="117"/>
    </row>
    <row r="191" spans="1:10" ht="15.75" customHeight="1" x14ac:dyDescent="0.3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37.14181</v>
      </c>
      <c r="G192" s="190">
        <f>SUM(G189:G191)</f>
        <v>45805.239600000001</v>
      </c>
      <c r="H192" s="190">
        <f>E192-G192</f>
        <v>-2334.2396000000008</v>
      </c>
      <c r="I192" s="190">
        <f>SUM(I189:I191)</f>
        <v>44865.691589999995</v>
      </c>
      <c r="J192" s="117"/>
    </row>
    <row r="193" spans="1:10" ht="12" customHeight="1" x14ac:dyDescent="0.3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35">
      <c r="A202" s="1"/>
      <c r="B202" s="277"/>
      <c r="C202" s="90" t="s">
        <v>113</v>
      </c>
      <c r="D202" s="124">
        <v>3987</v>
      </c>
      <c r="E202" s="72">
        <f>E203+E204</f>
        <v>33.7654</v>
      </c>
      <c r="F202" s="72">
        <f>F203+F204</f>
        <v>4197.5159800000001</v>
      </c>
      <c r="G202" s="72">
        <f>D202-F202</f>
        <v>-210.51598000000013</v>
      </c>
      <c r="H202" s="72">
        <f>H203+H204</f>
        <v>4484.3393699999997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25.91282</f>
        <v>25.91282</v>
      </c>
      <c r="F203" s="72">
        <f>3330.15891</f>
        <v>3330.1589100000001</v>
      </c>
      <c r="G203" s="72"/>
      <c r="H203" s="72">
        <f>3742.28458</f>
        <v>3742.28458</v>
      </c>
      <c r="I203" s="271"/>
      <c r="J203" s="117"/>
    </row>
    <row r="204" spans="1:10" ht="15" customHeight="1" x14ac:dyDescent="0.35">
      <c r="A204" s="1"/>
      <c r="B204" s="277"/>
      <c r="C204" s="172" t="s">
        <v>64</v>
      </c>
      <c r="D204" s="124"/>
      <c r="E204" s="124">
        <f>7.85258</f>
        <v>7.8525799999999997</v>
      </c>
      <c r="F204" s="124">
        <f>867.35707</f>
        <v>867.35707000000002</v>
      </c>
      <c r="G204" s="168"/>
      <c r="H204" s="124">
        <f>742.05479</f>
        <v>742.05479000000003</v>
      </c>
      <c r="I204" s="271"/>
      <c r="J204" s="117"/>
    </row>
    <row r="205" spans="1:10" ht="15" customHeight="1" x14ac:dyDescent="0.35">
      <c r="A205" s="1"/>
      <c r="B205" s="277"/>
      <c r="C205" s="90" t="s">
        <v>114</v>
      </c>
      <c r="D205" s="124">
        <v>4613</v>
      </c>
      <c r="E205" s="72">
        <f>21.12574</f>
        <v>21.12574</v>
      </c>
      <c r="F205" s="72">
        <f>5009.87319</f>
        <v>5009.8731900000002</v>
      </c>
      <c r="G205" s="72">
        <f>D205-F205</f>
        <v>-396.87319000000025</v>
      </c>
      <c r="H205" s="72">
        <f>5639.54949</f>
        <v>5639.5494900000003</v>
      </c>
      <c r="I205" s="271"/>
      <c r="J205" s="117"/>
    </row>
    <row r="206" spans="1:10" ht="16.5" customHeight="1" x14ac:dyDescent="0.35">
      <c r="A206" s="1"/>
      <c r="B206" s="277"/>
      <c r="C206" s="179" t="s">
        <v>83</v>
      </c>
      <c r="D206" s="190">
        <f>D205+D202</f>
        <v>8600</v>
      </c>
      <c r="E206" s="190">
        <f>SUM(E202,E205)</f>
        <v>54.89114</v>
      </c>
      <c r="F206" s="190">
        <f>SUM(F202,F205)</f>
        <v>9207.3891700000004</v>
      </c>
      <c r="G206" s="190">
        <f>D206-F206</f>
        <v>-607.38917000000038</v>
      </c>
      <c r="H206" s="190">
        <f>SUM(H202,H205)</f>
        <v>10123.888859999999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35">
      <c r="A215" s="1"/>
      <c r="B215" s="277"/>
      <c r="C215" s="90" t="s">
        <v>113</v>
      </c>
      <c r="D215" s="124">
        <v>5090</v>
      </c>
      <c r="E215" s="72">
        <f>E216+E217</f>
        <v>82.071290000000005</v>
      </c>
      <c r="F215" s="72">
        <f>F216+F217</f>
        <v>5815.6584000000003</v>
      </c>
      <c r="G215" s="72">
        <f>D215-F215</f>
        <v>-725.65840000000026</v>
      </c>
      <c r="H215" s="72">
        <f>H216+H217</f>
        <v>5599.0898299999999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74.08363</f>
        <v>74.083629999999999</v>
      </c>
      <c r="F216" s="72">
        <f>5343.9223</f>
        <v>5343.9223000000002</v>
      </c>
      <c r="G216" s="72"/>
      <c r="H216" s="72">
        <f>4972.85779</f>
        <v>4972.85779</v>
      </c>
      <c r="I216" s="271"/>
      <c r="J216" s="117"/>
    </row>
    <row r="217" spans="1:10" ht="15" customHeight="1" x14ac:dyDescent="0.35">
      <c r="A217" s="1"/>
      <c r="B217" s="277"/>
      <c r="C217" s="172" t="s">
        <v>64</v>
      </c>
      <c r="D217" s="124"/>
      <c r="E217" s="124">
        <f>7.98766</f>
        <v>7.98766</v>
      </c>
      <c r="F217" s="124">
        <f>471.7361</f>
        <v>471.73610000000002</v>
      </c>
      <c r="G217" s="168"/>
      <c r="H217" s="124">
        <f>626.23204</f>
        <v>626.23203999999998</v>
      </c>
      <c r="I217" s="271"/>
      <c r="J217" s="117"/>
    </row>
    <row r="218" spans="1:10" ht="15" customHeight="1" x14ac:dyDescent="0.35">
      <c r="A218" s="1"/>
      <c r="B218" s="277"/>
      <c r="C218" s="90" t="s">
        <v>114</v>
      </c>
      <c r="D218" s="124">
        <v>2981</v>
      </c>
      <c r="E218" s="72">
        <f>56.21592</f>
        <v>56.215919999999997</v>
      </c>
      <c r="F218" s="72">
        <f>3785.88349</f>
        <v>3785.8834900000002</v>
      </c>
      <c r="G218" s="72">
        <f>D218-F218</f>
        <v>-804.88349000000017</v>
      </c>
      <c r="H218" s="72">
        <f>3654.37411</f>
        <v>3654.3741100000002</v>
      </c>
      <c r="I218" s="271"/>
      <c r="J218" s="117"/>
    </row>
    <row r="219" spans="1:10" ht="16.5" customHeight="1" x14ac:dyDescent="0.35">
      <c r="A219" s="1"/>
      <c r="B219" s="277"/>
      <c r="C219" s="179" t="s">
        <v>83</v>
      </c>
      <c r="D219" s="190">
        <f>D218+D215</f>
        <v>8071</v>
      </c>
      <c r="E219" s="190">
        <f>SUM(E215,E218)</f>
        <v>138.28721000000002</v>
      </c>
      <c r="F219" s="190">
        <f>SUM(F215,F218)</f>
        <v>9601.5418900000004</v>
      </c>
      <c r="G219" s="190">
        <f>D219-F219</f>
        <v>-1530.5418900000004</v>
      </c>
      <c r="H219" s="190">
        <f>SUM(H215,H218)</f>
        <v>9253.4639399999996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5" customHeight="1" x14ac:dyDescent="0.35">
      <c r="A237" s="65"/>
      <c r="B237" s="75"/>
      <c r="C237" s="90" t="s">
        <v>89</v>
      </c>
      <c r="D237" s="124">
        <v>800</v>
      </c>
      <c r="E237" s="124">
        <f>0.95554</f>
        <v>0.95553999999999994</v>
      </c>
      <c r="F237" s="124">
        <f>653.63124</f>
        <v>653.63124000000005</v>
      </c>
      <c r="G237" s="124">
        <f>D237-F237</f>
        <v>146.36875999999995</v>
      </c>
      <c r="H237" s="124">
        <f>717.77977</f>
        <v>717.77976999999998</v>
      </c>
      <c r="I237" s="65"/>
      <c r="J237" s="267"/>
    </row>
    <row r="238" spans="1:10" ht="14.15" customHeight="1" x14ac:dyDescent="0.35">
      <c r="A238" s="1"/>
      <c r="B238" s="277"/>
      <c r="C238" s="90" t="s">
        <v>90</v>
      </c>
      <c r="D238" s="269">
        <v>2193</v>
      </c>
      <c r="E238" s="124">
        <f>62.50099</f>
        <v>62.500990000000002</v>
      </c>
      <c r="F238" s="124">
        <f>1725.81129</f>
        <v>1725.8112900000001</v>
      </c>
      <c r="G238" s="124">
        <f>D238-F238</f>
        <v>467.1887099999999</v>
      </c>
      <c r="H238" s="124">
        <f>2758.81766</f>
        <v>2758.8176600000002</v>
      </c>
      <c r="I238" s="173"/>
      <c r="J238" s="111"/>
    </row>
    <row r="239" spans="1:10" ht="16.5" customHeight="1" x14ac:dyDescent="0.3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3.78662</f>
        <v>3.7866200000000001</v>
      </c>
      <c r="I239" s="65"/>
      <c r="J239" s="272"/>
    </row>
    <row r="240" spans="1:10" ht="18.75" customHeight="1" x14ac:dyDescent="0.35">
      <c r="A240" s="65"/>
      <c r="B240" s="273"/>
      <c r="C240" s="146" t="s">
        <v>91</v>
      </c>
      <c r="D240" s="245"/>
      <c r="E240" s="168">
        <f>0</f>
        <v>0</v>
      </c>
      <c r="F240" s="168">
        <f>3.26883</f>
        <v>3.2688299999999999</v>
      </c>
      <c r="G240" s="124">
        <f>D240-F240</f>
        <v>-3.2688299999999999</v>
      </c>
      <c r="H240" s="168">
        <f>2.69251</f>
        <v>2.69251</v>
      </c>
      <c r="I240" s="305"/>
      <c r="J240" s="117"/>
    </row>
    <row r="241" spans="1:10" ht="14.15" customHeight="1" x14ac:dyDescent="0.35">
      <c r="A241" s="1"/>
      <c r="B241" s="277"/>
      <c r="C241" s="179" t="s">
        <v>83</v>
      </c>
      <c r="D241" s="5">
        <f>D226</f>
        <v>3003</v>
      </c>
      <c r="E241" s="190">
        <f>SUM(E237:E240)</f>
        <v>63.456530000000001</v>
      </c>
      <c r="F241" s="190">
        <f>SUM(F237:F240)</f>
        <v>2382.7655000000004</v>
      </c>
      <c r="G241" s="190">
        <f>D241-F241</f>
        <v>620.23449999999957</v>
      </c>
      <c r="H241" s="190">
        <f>H237+H238+H239+H240</f>
        <v>3483.07656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109</v>
      </c>
    </row>
    <row r="245" spans="1:10" ht="14.15" customHeight="1" x14ac:dyDescent="0.35">
      <c r="A245" s="1" t="s">
        <v>109</v>
      </c>
    </row>
    <row r="246" spans="1:10" ht="30" customHeight="1" x14ac:dyDescent="0.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3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0.31380000000000002</v>
      </c>
      <c r="G262" s="276">
        <f t="shared" si="17"/>
        <v>27589.428910000002</v>
      </c>
      <c r="H262" s="276">
        <f>H266+H265+H264+H263</f>
        <v>146.57108999999946</v>
      </c>
      <c r="I262" s="276">
        <f t="shared" si="17"/>
        <v>20496.3197</v>
      </c>
      <c r="J262" s="127"/>
    </row>
    <row r="263" spans="1:10" ht="14.15" customHeight="1" x14ac:dyDescent="0.35">
      <c r="A263" s="223"/>
      <c r="B263" s="69"/>
      <c r="C263" s="278" t="s">
        <v>99</v>
      </c>
      <c r="D263" s="279">
        <v>14132</v>
      </c>
      <c r="E263" s="279">
        <v>16670</v>
      </c>
      <c r="F263" s="280">
        <f>0</f>
        <v>0</v>
      </c>
      <c r="G263" s="280">
        <f>18791.32803</f>
        <v>18791.328030000001</v>
      </c>
      <c r="H263" s="280">
        <f t="shared" ref="H263:H267" si="18">E263-G263</f>
        <v>-2121.3280300000006</v>
      </c>
      <c r="I263" s="280">
        <f>13312.76856</f>
        <v>13312.76856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3777.79773</f>
        <v>3777.7977299999998</v>
      </c>
      <c r="H264" s="280">
        <f>E264-G264</f>
        <v>561.20227000000023</v>
      </c>
      <c r="I264" s="280">
        <f>2382.55392</f>
        <v>2382.5539199999998</v>
      </c>
      <c r="J264" s="127"/>
    </row>
    <row r="265" spans="1:10" ht="14.15" customHeight="1" x14ac:dyDescent="0.35">
      <c r="A265" s="223"/>
      <c r="B265" s="69"/>
      <c r="C265" s="282" t="s">
        <v>96</v>
      </c>
      <c r="D265" s="279">
        <v>1506</v>
      </c>
      <c r="E265" s="279">
        <v>1571</v>
      </c>
      <c r="F265" s="280">
        <f>0.3138</f>
        <v>0.31380000000000002</v>
      </c>
      <c r="G265" s="280">
        <f>1807.27256</f>
        <v>1807.2725600000001</v>
      </c>
      <c r="H265" s="280">
        <f t="shared" si="18"/>
        <v>-236.27256000000011</v>
      </c>
      <c r="I265" s="280">
        <f>2239.63451</f>
        <v>2239.6345099999999</v>
      </c>
      <c r="J265" s="127"/>
    </row>
    <row r="266" spans="1:10" ht="14.15" customHeight="1" x14ac:dyDescent="0.35">
      <c r="A266" s="223"/>
      <c r="B266" s="69"/>
      <c r="C266" s="284" t="s">
        <v>119</v>
      </c>
      <c r="D266" s="285">
        <v>5043</v>
      </c>
      <c r="E266" s="285">
        <v>5156</v>
      </c>
      <c r="F266" s="280">
        <f>0</f>
        <v>0</v>
      </c>
      <c r="G266" s="280">
        <f>3213.03059</f>
        <v>3213.0305899999998</v>
      </c>
      <c r="H266" s="280">
        <f t="shared" si="18"/>
        <v>1942.9694100000002</v>
      </c>
      <c r="I266" s="280">
        <f>2561.36271</f>
        <v>2561.3627099999999</v>
      </c>
      <c r="J266" s="127"/>
    </row>
    <row r="267" spans="1:10" ht="14.15" customHeight="1" x14ac:dyDescent="0.35">
      <c r="A267" s="223"/>
      <c r="B267" s="69"/>
      <c r="C267" s="287" t="s">
        <v>56</v>
      </c>
      <c r="D267" s="288">
        <v>5500</v>
      </c>
      <c r="E267" s="288">
        <v>5500</v>
      </c>
      <c r="F267" s="290">
        <f>0</f>
        <v>0</v>
      </c>
      <c r="G267" s="290">
        <f>4151.72124</f>
        <v>4151.7212399999999</v>
      </c>
      <c r="H267" s="290">
        <f t="shared" si="18"/>
        <v>1348.2787600000001</v>
      </c>
      <c r="I267" s="290">
        <f>2243.69478</f>
        <v>2243.6947799999998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144.69327999999999</v>
      </c>
      <c r="G268" s="291">
        <f>G270+G269</f>
        <v>4067.9868000000001</v>
      </c>
      <c r="H268" s="291">
        <f>E268-G268</f>
        <v>3932.0131999999999</v>
      </c>
      <c r="I268" s="291">
        <f>I270+I269</f>
        <v>4298.53035</v>
      </c>
      <c r="J268" s="127"/>
    </row>
    <row r="269" spans="1:10" ht="14.15" customHeight="1" x14ac:dyDescent="0.35">
      <c r="A269" s="223"/>
      <c r="B269" s="69"/>
      <c r="C269" s="282" t="s">
        <v>50</v>
      </c>
      <c r="D269" s="293"/>
      <c r="E269" s="279"/>
      <c r="F269" s="280">
        <f>0</f>
        <v>0</v>
      </c>
      <c r="G269" s="280">
        <f>548.44402</f>
        <v>548.44402000000002</v>
      </c>
      <c r="H269" s="280"/>
      <c r="I269" s="280">
        <f>1065.87556</f>
        <v>1065.87556</v>
      </c>
      <c r="J269" s="127"/>
    </row>
    <row r="270" spans="1:10" ht="14.15" customHeight="1" x14ac:dyDescent="0.35">
      <c r="A270" s="223"/>
      <c r="B270" s="69"/>
      <c r="C270" s="295" t="s">
        <v>100</v>
      </c>
      <c r="D270" s="296"/>
      <c r="E270" s="298"/>
      <c r="F270" s="299">
        <f>144.69328</f>
        <v>144.69327999999999</v>
      </c>
      <c r="G270" s="299">
        <f>3519.54278</f>
        <v>3519.5427800000002</v>
      </c>
      <c r="H270" s="299"/>
      <c r="I270" s="299">
        <f>3232.65479</f>
        <v>3232.65479</v>
      </c>
      <c r="J270" s="127"/>
    </row>
    <row r="271" spans="1:10" ht="14.15" customHeight="1" x14ac:dyDescent="0.3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0.7525</f>
        <v>0.75249999999999995</v>
      </c>
      <c r="H271" s="290">
        <f>E271-G271</f>
        <v>12.2475</v>
      </c>
      <c r="I271" s="290">
        <f>0.1565</f>
        <v>0.1565</v>
      </c>
      <c r="J271" s="127"/>
    </row>
    <row r="272" spans="1:10" ht="14.15" customHeight="1" x14ac:dyDescent="0.35">
      <c r="A272" s="223"/>
      <c r="B272" s="69"/>
      <c r="C272" s="300" t="s">
        <v>101</v>
      </c>
      <c r="D272" s="303"/>
      <c r="E272" s="304"/>
      <c r="F272" s="290">
        <f>0.0336</f>
        <v>3.3599999999999998E-2</v>
      </c>
      <c r="G272" s="290">
        <f>194.44188</f>
        <v>194.44188</v>
      </c>
      <c r="H272" s="290">
        <f>E272-G272</f>
        <v>-194.44188</v>
      </c>
      <c r="I272" s="290">
        <f>135.25023</f>
        <v>135.25022999999999</v>
      </c>
      <c r="J272" s="127"/>
    </row>
    <row r="273" spans="1:10" ht="19.5" customHeight="1" x14ac:dyDescent="0.3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145.04067999999998</v>
      </c>
      <c r="G273" s="308">
        <f t="shared" si="19"/>
        <v>36004.331330000001</v>
      </c>
      <c r="H273" s="308">
        <f>H262+H267+H268+H271+H272</f>
        <v>5244.66867</v>
      </c>
      <c r="I273" s="308">
        <f t="shared" si="19"/>
        <v>27173.951560000001</v>
      </c>
      <c r="J273" s="127"/>
    </row>
    <row r="274" spans="1:10" ht="14.15" customHeight="1" x14ac:dyDescent="0.3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109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5" customHeight="1" x14ac:dyDescent="0.35">
      <c r="A294" s="223"/>
      <c r="B294" s="69"/>
      <c r="C294" s="287" t="s">
        <v>106</v>
      </c>
      <c r="D294" s="197">
        <v>779</v>
      </c>
      <c r="E294" s="25">
        <f>SUM(E295:E296)</f>
        <v>0</v>
      </c>
      <c r="F294" s="25">
        <f>SUM(F295:F296)</f>
        <v>925.70793000000003</v>
      </c>
      <c r="G294" s="82">
        <f>D294-F294</f>
        <v>-146.70793000000003</v>
      </c>
      <c r="H294" s="25">
        <f>SUM(H295:H296)</f>
        <v>1023.20588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684.79675</f>
        <v>684.79674999999997</v>
      </c>
      <c r="G295" s="199"/>
      <c r="H295" s="198">
        <f>778.94708</f>
        <v>778.94708000000003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5" customHeight="1" x14ac:dyDescent="0.35">
      <c r="A297" s="223"/>
      <c r="B297" s="69"/>
      <c r="C297" s="287" t="s">
        <v>107</v>
      </c>
      <c r="D297" s="9">
        <v>779</v>
      </c>
      <c r="E297" s="25">
        <f>SUM(E298:E299)</f>
        <v>24.713799999999999</v>
      </c>
      <c r="F297" s="25">
        <f>SUM(F298:F299)</f>
        <v>278.05950000000001</v>
      </c>
      <c r="G297" s="82">
        <f>D297-F297</f>
        <v>500.94049999999999</v>
      </c>
      <c r="H297" s="25">
        <f>SUM(H298:H299)</f>
        <v>378.92984000000001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20.218</f>
        <v>20.218</v>
      </c>
      <c r="F298" s="29">
        <f>211.9093</f>
        <v>211.9093</v>
      </c>
      <c r="G298" s="94"/>
      <c r="H298" s="29">
        <f>276.6655</f>
        <v>276.66550000000001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4.4958</f>
        <v>4.4958</v>
      </c>
      <c r="F299" s="29">
        <f>66.1502</f>
        <v>66.150199999999998</v>
      </c>
      <c r="G299" s="105"/>
      <c r="H299" s="29">
        <f>102.26434</f>
        <v>102.26434</v>
      </c>
      <c r="I299" s="145"/>
      <c r="J299" s="127"/>
    </row>
    <row r="300" spans="1:10" ht="14.15" customHeight="1" x14ac:dyDescent="0.3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24.713799999999999</v>
      </c>
      <c r="F304" s="39">
        <f>F294+F297+F300+F303</f>
        <v>1203.7674300000001</v>
      </c>
      <c r="G304" s="40">
        <f>D304-F304</f>
        <v>1134.2325699999999</v>
      </c>
      <c r="H304" s="39">
        <f>H294+H297+H300+H303</f>
        <v>1402.13572</v>
      </c>
      <c r="I304" s="26"/>
      <c r="J304" s="127"/>
    </row>
    <row r="305" spans="1:10" ht="42" customHeight="1" x14ac:dyDescent="0.3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109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35">
      <c r="A322" s="223"/>
      <c r="B322" s="69"/>
      <c r="C322" s="236" t="s">
        <v>151</v>
      </c>
      <c r="D322" s="237">
        <v>248</v>
      </c>
      <c r="E322" s="29">
        <f>0.7003</f>
        <v>0.70030000000000003</v>
      </c>
      <c r="F322" s="29">
        <f>1180.35973</f>
        <v>1180.3597299999999</v>
      </c>
      <c r="G322" s="238">
        <f>D322-F322</f>
        <v>-932.3597299999999</v>
      </c>
      <c r="H322" s="29">
        <f>677.26391</f>
        <v>677.26391000000001</v>
      </c>
      <c r="I322" s="242"/>
      <c r="J322" s="127"/>
    </row>
    <row r="323" spans="1:10" ht="17.5" customHeight="1" x14ac:dyDescent="0.35">
      <c r="A323" s="223"/>
      <c r="B323" s="69"/>
      <c r="C323" s="239" t="s">
        <v>152</v>
      </c>
      <c r="D323" s="240">
        <v>22048</v>
      </c>
      <c r="E323" s="29">
        <f>6.96322</f>
        <v>6.9632199999999997</v>
      </c>
      <c r="F323" s="29">
        <f>2310.27514</f>
        <v>2310.2751400000002</v>
      </c>
      <c r="G323" s="241">
        <f>D323-F323</f>
        <v>19737.724859999998</v>
      </c>
      <c r="H323" s="29">
        <f>2333.38158</f>
        <v>2333.3815800000002</v>
      </c>
      <c r="I323" s="26"/>
      <c r="J323" s="127"/>
    </row>
    <row r="324" spans="1:10" ht="17.149999999999999" customHeight="1" x14ac:dyDescent="0.35">
      <c r="A324" s="223"/>
      <c r="B324" s="69"/>
      <c r="C324" s="306" t="s">
        <v>83</v>
      </c>
      <c r="D324" s="229">
        <f>D322+D323</f>
        <v>22296</v>
      </c>
      <c r="E324" s="39">
        <f>E323+E322</f>
        <v>7.6635200000000001</v>
      </c>
      <c r="F324" s="39">
        <f>F323+F322</f>
        <v>3490.6348699999999</v>
      </c>
      <c r="G324" s="39">
        <f>G323+G322</f>
        <v>18805.365129999998</v>
      </c>
      <c r="H324" s="39">
        <f>H323+H322</f>
        <v>3010.6454900000003</v>
      </c>
      <c r="I324" s="26"/>
      <c r="J324" s="127"/>
    </row>
    <row r="325" spans="1:10" ht="22.5" customHeight="1" x14ac:dyDescent="0.3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109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3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51&amp;R22.12.2025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Borgny Brørvik</cp:lastModifiedBy>
  <cp:lastPrinted>2022-11-14T12:51:47Z</cp:lastPrinted>
  <dcterms:created xsi:type="dcterms:W3CDTF">2022-08-01T13:23:35Z</dcterms:created>
  <dcterms:modified xsi:type="dcterms:W3CDTF">2025-12-23T09:09:40Z</dcterms:modified>
</cp:coreProperties>
</file>