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C2B8D94E-EC60-4CB1-B04B-CECD89EAA0F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105" i="1"/>
  <c r="G104" i="1"/>
  <c r="G103" i="1"/>
  <c r="G100" i="1"/>
  <c r="G99" i="1"/>
  <c r="G98" i="1"/>
  <c r="G97" i="1"/>
  <c r="G96" i="1"/>
  <c r="G95" i="1" s="1"/>
  <c r="G94" i="1"/>
  <c r="G92" i="1"/>
  <c r="E96" i="1"/>
  <c r="E95" i="1" s="1"/>
  <c r="E92" i="1"/>
  <c r="E35" i="1"/>
  <c r="E27" i="1"/>
  <c r="E26" i="1" s="1"/>
  <c r="E23" i="1"/>
  <c r="F43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G34" i="1" s="1"/>
  <c r="F35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5" i="1"/>
  <c r="F25" i="1"/>
  <c r="F24" i="1"/>
  <c r="D423" i="1" l="1"/>
  <c r="H422" i="1"/>
  <c r="F422" i="1"/>
  <c r="G422" i="1" s="1"/>
  <c r="E422" i="1"/>
  <c r="H421" i="1"/>
  <c r="F421" i="1"/>
  <c r="E421" i="1"/>
  <c r="E419" i="1" s="1"/>
  <c r="H420" i="1"/>
  <c r="F420" i="1"/>
  <c r="E420" i="1"/>
  <c r="H418" i="1"/>
  <c r="F418" i="1"/>
  <c r="E418" i="1"/>
  <c r="E416" i="1" s="1"/>
  <c r="H417" i="1"/>
  <c r="H416" i="1" s="1"/>
  <c r="F417" i="1"/>
  <c r="E417" i="1"/>
  <c r="H415" i="1"/>
  <c r="H413" i="1" s="1"/>
  <c r="F415" i="1"/>
  <c r="E415" i="1"/>
  <c r="H414" i="1"/>
  <c r="F414" i="1"/>
  <c r="F413" i="1" s="1"/>
  <c r="G413" i="1" s="1"/>
  <c r="E414" i="1"/>
  <c r="I390" i="1"/>
  <c r="G390" i="1"/>
  <c r="H390" i="1" s="1"/>
  <c r="F390" i="1"/>
  <c r="I389" i="1"/>
  <c r="H389" i="1"/>
  <c r="G389" i="1"/>
  <c r="F389" i="1"/>
  <c r="I388" i="1"/>
  <c r="G388" i="1"/>
  <c r="G386" i="1" s="1"/>
  <c r="H386" i="1" s="1"/>
  <c r="F388" i="1"/>
  <c r="F386" i="1" s="1"/>
  <c r="I387" i="1"/>
  <c r="G387" i="1"/>
  <c r="F387" i="1"/>
  <c r="I385" i="1"/>
  <c r="G385" i="1"/>
  <c r="H385" i="1" s="1"/>
  <c r="F385" i="1"/>
  <c r="I384" i="1"/>
  <c r="I380" i="1" s="1"/>
  <c r="G384" i="1"/>
  <c r="H384" i="1" s="1"/>
  <c r="F384" i="1"/>
  <c r="I383" i="1"/>
  <c r="G383" i="1"/>
  <c r="H383" i="1" s="1"/>
  <c r="F383" i="1"/>
  <c r="I382" i="1"/>
  <c r="G382" i="1"/>
  <c r="H382" i="1" s="1"/>
  <c r="F382" i="1"/>
  <c r="I381" i="1"/>
  <c r="H381" i="1"/>
  <c r="G381" i="1"/>
  <c r="F381" i="1"/>
  <c r="D380" i="1"/>
  <c r="D391" i="1" s="1"/>
  <c r="H372" i="1"/>
  <c r="F372" i="1"/>
  <c r="D354" i="1"/>
  <c r="H353" i="1"/>
  <c r="F353" i="1"/>
  <c r="G353" i="1" s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D343" i="1"/>
  <c r="D299" i="1"/>
  <c r="H298" i="1"/>
  <c r="F298" i="1"/>
  <c r="G298" i="1" s="1"/>
  <c r="E298" i="1"/>
  <c r="H297" i="1"/>
  <c r="H295" i="1" s="1"/>
  <c r="F297" i="1"/>
  <c r="E297" i="1"/>
  <c r="H296" i="1"/>
  <c r="F296" i="1"/>
  <c r="E296" i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H178" i="1" s="1"/>
  <c r="F180" i="1"/>
  <c r="E180" i="1"/>
  <c r="H179" i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67" i="1"/>
  <c r="D169" i="1" s="1"/>
  <c r="H148" i="1"/>
  <c r="F148" i="1"/>
  <c r="H147" i="1"/>
  <c r="F147" i="1"/>
  <c r="H146" i="1"/>
  <c r="H145" i="1"/>
  <c r="F145" i="1"/>
  <c r="H144" i="1"/>
  <c r="F144" i="1"/>
  <c r="H143" i="1"/>
  <c r="F143" i="1"/>
  <c r="H142" i="1"/>
  <c r="F142" i="1"/>
  <c r="H141" i="1"/>
  <c r="F141" i="1"/>
  <c r="F140" i="1"/>
  <c r="F139" i="1" s="1"/>
  <c r="E139" i="1"/>
  <c r="E133" i="1" s="1"/>
  <c r="D139" i="1"/>
  <c r="H138" i="1"/>
  <c r="F138" i="1"/>
  <c r="H137" i="1"/>
  <c r="F137" i="1"/>
  <c r="H136" i="1"/>
  <c r="F136" i="1"/>
  <c r="H135" i="1"/>
  <c r="F135" i="1"/>
  <c r="E134" i="1"/>
  <c r="D134" i="1"/>
  <c r="D133" i="1"/>
  <c r="H132" i="1"/>
  <c r="F132" i="1"/>
  <c r="H131" i="1"/>
  <c r="F131" i="1"/>
  <c r="H130" i="1"/>
  <c r="F130" i="1"/>
  <c r="F129" i="1"/>
  <c r="E128" i="1"/>
  <c r="D128" i="1"/>
  <c r="D150" i="1" s="1"/>
  <c r="C126" i="1"/>
  <c r="I106" i="1"/>
  <c r="H106" i="1"/>
  <c r="F106" i="1"/>
  <c r="I105" i="1"/>
  <c r="H105" i="1"/>
  <c r="F105" i="1"/>
  <c r="I104" i="1"/>
  <c r="H104" i="1"/>
  <c r="F104" i="1"/>
  <c r="I103" i="1"/>
  <c r="H103" i="1"/>
  <c r="F103" i="1"/>
  <c r="I102" i="1"/>
  <c r="H102" i="1"/>
  <c r="F102" i="1"/>
  <c r="I101" i="1"/>
  <c r="H101" i="1"/>
  <c r="F101" i="1"/>
  <c r="I100" i="1"/>
  <c r="H100" i="1"/>
  <c r="F100" i="1"/>
  <c r="I99" i="1"/>
  <c r="H99" i="1"/>
  <c r="F99" i="1"/>
  <c r="I98" i="1"/>
  <c r="H98" i="1"/>
  <c r="F98" i="1"/>
  <c r="I97" i="1"/>
  <c r="H97" i="1"/>
  <c r="F97" i="1"/>
  <c r="D96" i="1"/>
  <c r="D95" i="1" s="1"/>
  <c r="I94" i="1"/>
  <c r="H94" i="1"/>
  <c r="F94" i="1"/>
  <c r="I93" i="1"/>
  <c r="F93" i="1"/>
  <c r="F92" i="1" s="1"/>
  <c r="I92" i="1"/>
  <c r="D92" i="1"/>
  <c r="C89" i="1"/>
  <c r="H85" i="1"/>
  <c r="F85" i="1"/>
  <c r="D85" i="1"/>
  <c r="H61" i="1"/>
  <c r="H60" i="1"/>
  <c r="I35" i="1" s="1"/>
  <c r="I34" i="1" s="1"/>
  <c r="I55" i="1"/>
  <c r="I32" i="1" s="1"/>
  <c r="G55" i="1"/>
  <c r="F55" i="1"/>
  <c r="I43" i="1"/>
  <c r="H43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D34" i="1"/>
  <c r="I33" i="1"/>
  <c r="H33" i="1"/>
  <c r="I31" i="1"/>
  <c r="H31" i="1"/>
  <c r="I30" i="1"/>
  <c r="H30" i="1"/>
  <c r="I29" i="1"/>
  <c r="H29" i="1"/>
  <c r="I28" i="1"/>
  <c r="H28" i="1"/>
  <c r="D27" i="1"/>
  <c r="D26" i="1"/>
  <c r="I25" i="1"/>
  <c r="H25" i="1"/>
  <c r="I24" i="1"/>
  <c r="I23" i="1" s="1"/>
  <c r="H24" i="1"/>
  <c r="G23" i="1"/>
  <c r="F23" i="1"/>
  <c r="D23" i="1"/>
  <c r="H16" i="1"/>
  <c r="F16" i="1"/>
  <c r="D16" i="1"/>
  <c r="H23" i="1" l="1"/>
  <c r="H35" i="1"/>
  <c r="F27" i="1"/>
  <c r="F107" i="1"/>
  <c r="E178" i="1"/>
  <c r="F184" i="1"/>
  <c r="G184" i="1" s="1"/>
  <c r="F96" i="1"/>
  <c r="F95" i="1" s="1"/>
  <c r="E150" i="1"/>
  <c r="F134" i="1"/>
  <c r="F133" i="1" s="1"/>
  <c r="H140" i="1"/>
  <c r="H139" i="1" s="1"/>
  <c r="H184" i="1"/>
  <c r="E207" i="1"/>
  <c r="E249" i="1"/>
  <c r="E253" i="1" s="1"/>
  <c r="E295" i="1"/>
  <c r="E299" i="1" s="1"/>
  <c r="I386" i="1"/>
  <c r="I391" i="1" s="1"/>
  <c r="E184" i="1"/>
  <c r="G380" i="1"/>
  <c r="G107" i="1"/>
  <c r="F128" i="1"/>
  <c r="F178" i="1"/>
  <c r="G178" i="1" s="1"/>
  <c r="F295" i="1"/>
  <c r="H299" i="1"/>
  <c r="F419" i="1"/>
  <c r="G419" i="1" s="1"/>
  <c r="I27" i="1"/>
  <c r="I26" i="1" s="1"/>
  <c r="I44" i="1" s="1"/>
  <c r="F26" i="1"/>
  <c r="D44" i="1"/>
  <c r="E44" i="1"/>
  <c r="I96" i="1"/>
  <c r="I95" i="1" s="1"/>
  <c r="I107" i="1" s="1"/>
  <c r="E413" i="1"/>
  <c r="E423" i="1" s="1"/>
  <c r="F416" i="1"/>
  <c r="G416" i="1" s="1"/>
  <c r="H419" i="1"/>
  <c r="H423" i="1" s="1"/>
  <c r="E107" i="1"/>
  <c r="I150" i="1"/>
  <c r="H253" i="1"/>
  <c r="E354" i="1"/>
  <c r="F380" i="1"/>
  <c r="F391" i="1" s="1"/>
  <c r="H380" i="1"/>
  <c r="H391" i="1" s="1"/>
  <c r="H32" i="1"/>
  <c r="H27" i="1" s="1"/>
  <c r="G27" i="1"/>
  <c r="D107" i="1"/>
  <c r="F44" i="1"/>
  <c r="H134" i="1"/>
  <c r="F253" i="1"/>
  <c r="G249" i="1"/>
  <c r="G253" i="1"/>
  <c r="G391" i="1"/>
  <c r="H34" i="1"/>
  <c r="G26" i="1"/>
  <c r="G44" i="1" s="1"/>
  <c r="H96" i="1"/>
  <c r="H95" i="1" s="1"/>
  <c r="F150" i="1"/>
  <c r="F299" i="1"/>
  <c r="G299" i="1" s="1"/>
  <c r="G295" i="1"/>
  <c r="G354" i="1"/>
  <c r="F207" i="1"/>
  <c r="G207" i="1" s="1"/>
  <c r="H55" i="1"/>
  <c r="G150" i="1"/>
  <c r="H129" i="1"/>
  <c r="H128" i="1" s="1"/>
  <c r="G350" i="1"/>
  <c r="H93" i="1"/>
  <c r="H92" i="1" s="1"/>
  <c r="G175" i="1"/>
  <c r="H133" i="1" l="1"/>
  <c r="H150" i="1" s="1"/>
  <c r="H107" i="1"/>
  <c r="F423" i="1"/>
  <c r="G423" i="1" s="1"/>
  <c r="H26" i="1"/>
  <c r="H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<sst xmlns="http://schemas.openxmlformats.org/spreadsheetml/2006/main" count="359" uniqueCount="151">
  <si>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</si>
  <si>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</si>
  <si>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</si>
  <si>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</si>
  <si>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</si>
  <si>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</si>
  <si>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</si>
  <si>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</si>
  <si>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</si>
  <si>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</si>
  <si>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</si>
  <si>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</si>
  <si>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</si>
  <si>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</si>
  <si>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</si>
  <si>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</si>
  <si>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</si>
  <si>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</si>
  <si>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</si>
  <si>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</si>
  <si>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</si>
  <si>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</si>
  <si>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</si>
  <si>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</si>
  <si>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</si>
  <si>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</si>
  <si>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</si>
  <si>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</si>
  <si>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</si>
  <si>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</si>
  <si>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</si>
  <si>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</si>
  <si>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</si>
  <si>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</si>
  <si>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</si>
  <si>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</si>
  <si>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</si>
  <si>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</si>
  <si>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</si>
  <si>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</si>
  <si>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</si>
  <si>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</si>
  <si>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</si>
  <si>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</si>
  <si>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</si>
  <si>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</si>
  <si>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</si>
  <si>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</si>
  <si>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</si>
  <si>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</si>
  <si>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</si>
  <si>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</si>
  <si>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</si>
  <si>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</si>
  <si>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</si>
  <si>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</si>
  <si>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</si>
  <si>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</si>
  <si>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</si>
  <si>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</si>
  <si>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</si>
  <si>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</si>
  <si>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</si>
  <si>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</si>
  <si>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</si>
  <si>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</si>
  <si>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</si>
  <si>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</si>
  <si>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</si>
  <si>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</si>
  <si>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</si>
  <si>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</si>
  <si>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</si>
  <si>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</si>
  <si>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</si>
  <si>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</si>
  <si>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</si>
  <si>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</si>
  <si>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</si>
  <si>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</si>
  <si>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</si>
  <si>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</si>
  <si>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</si>
  <si>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</si>
  <si>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</si>
  <si>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</si>
  <si>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</si>
  <si>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</si>
  <si>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</si>
  <si>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</si>
  <si>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</si>
  <si>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</si>
  <si>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</si>
  <si>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</si>
  <si>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</si>
  <si>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</si>
  <si>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</si>
  <si>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</si>
  <si>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</si>
  <si>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</si>
  <si>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</si>
  <si>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</si>
  <si>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</si>
  <si>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</si>
  <si>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</si>
  <si>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</si>
  <si>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</si>
  <si>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</si>
  <si>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</si>
  <si>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</si>
  <si>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</si>
  <si>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</si>
  <si>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</si>
  <si>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</si>
  <si>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</si>
  <si>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</si>
  <si>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</si>
  <si>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</si>
  <si>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</si>
  <si>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</si>
  <si>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</si>
  <si>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</si>
  <si>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</si>
  <si>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</si>
  <si>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</si>
  <si>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</si>
  <si>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</si>
  <si>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</si>
  <si>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</si>
  <si>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</si>
  <si>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</si>
  <si>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</si>
  <si>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</si>
  <si>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</si>
  <si>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</si>
  <si>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</si>
  <si>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</si>
  <si>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</si>
  <si>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</si>
  <si>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</si>
  <si>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</si>
  <si>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</si>
  <si>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</si>
  <si>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63 tonn, men det legges til grunn at hele avsetningen tas</t>
  </si>
  <si>
    <t>4 Registrert rekreasjonsfiske utgjør 524 tonn, men det legges til grunn at hele avsetningen tas</t>
  </si>
  <si>
    <t>3 Registrert rekreasjonsfiske utgjør 903 tonn, men det legges til grunn at hele avsetningen tas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</si>
  <si>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</si>
  <si>
    <t>FANGST UKE 52</t>
  </si>
  <si>
    <t>FANGST T.O.M UKE 52</t>
  </si>
  <si>
    <t>RESTKVOTER UKE 52</t>
  </si>
  <si>
    <t>FANGST T.O.M UKE 52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</si>
</sst>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27" zoomScale="115" zoomScaleNormal="85" zoomScaleSheetLayoutView="100" zoomScalePageLayoutView="115" workbookViewId="0">
      <selection activeCell="G132" sqref="G13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118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19"/>
    </row>
    <row r="11" spans="1:10" ht="14.1" customHeight="1" x14ac:dyDescent="0.25">
      <c r="A11" s="155"/>
      <c r="B11" s="51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7"/>
      <c r="J11" s="243"/>
    </row>
    <row r="12" spans="1:10" ht="14.1" customHeight="1" x14ac:dyDescent="0.25">
      <c r="A12" s="1"/>
      <c r="B12" s="253"/>
      <c r="C12" s="98"/>
      <c r="D12" s="98"/>
      <c r="E12" s="98" t="s">
        <v>4</v>
      </c>
      <c r="F12" s="113">
        <v>62439</v>
      </c>
      <c r="G12" s="114" t="s">
        <v>5</v>
      </c>
      <c r="H12" s="113">
        <v>16997</v>
      </c>
      <c r="I12" s="177"/>
      <c r="J12" s="243"/>
    </row>
    <row r="13" spans="1:10" ht="15.75" customHeight="1" x14ac:dyDescent="0.25">
      <c r="A13" s="1"/>
      <c r="B13" s="253"/>
      <c r="C13" s="114" t="s">
        <v>6</v>
      </c>
      <c r="D13" s="116">
        <v>212124</v>
      </c>
      <c r="E13" s="114" t="s">
        <v>7</v>
      </c>
      <c r="F13" s="116">
        <v>134682</v>
      </c>
      <c r="G13" s="114" t="s">
        <v>8</v>
      </c>
      <c r="H13" s="116">
        <v>95779</v>
      </c>
      <c r="I13" s="177"/>
      <c r="J13" s="243"/>
    </row>
    <row r="14" spans="1:10" ht="14.25" customHeight="1" x14ac:dyDescent="0.25">
      <c r="A14" s="1"/>
      <c r="B14" s="253"/>
      <c r="C14" s="114" t="s">
        <v>9</v>
      </c>
      <c r="D14" s="116">
        <v>200124</v>
      </c>
      <c r="E14" s="114" t="s">
        <v>10</v>
      </c>
      <c r="F14" s="116">
        <v>17846</v>
      </c>
      <c r="G14" s="114" t="s">
        <v>11</v>
      </c>
      <c r="H14" s="116">
        <v>13074</v>
      </c>
      <c r="I14" s="177"/>
      <c r="J14" s="243"/>
    </row>
    <row r="15" spans="1:10" ht="15.75" customHeight="1" x14ac:dyDescent="0.25">
      <c r="A15" s="1"/>
      <c r="B15" s="253"/>
      <c r="C15" s="114" t="s">
        <v>74</v>
      </c>
      <c r="D15" s="116">
        <v>62179</v>
      </c>
      <c r="E15" s="146"/>
      <c r="F15" s="165"/>
      <c r="G15" s="164" t="s">
        <v>12</v>
      </c>
      <c r="H15" s="290">
        <v>8832</v>
      </c>
      <c r="I15" s="177"/>
      <c r="J15" s="243"/>
    </row>
    <row r="16" spans="1:10" ht="14.1" customHeight="1" x14ac:dyDescent="0.25">
      <c r="A16" s="1"/>
      <c r="B16" s="253"/>
      <c r="C16" s="176" t="s">
        <v>13</v>
      </c>
      <c r="D16" s="188">
        <f>SUM(D13:D15)</f>
        <v>474427</v>
      </c>
      <c r="E16" s="176" t="s">
        <v>14</v>
      </c>
      <c r="F16" s="188">
        <f>SUM(F12:F15)</f>
        <v>214967</v>
      </c>
      <c r="G16" s="176" t="s">
        <v>7</v>
      </c>
      <c r="H16" s="188">
        <f>SUM(H12:H15)</f>
        <v>134682</v>
      </c>
      <c r="J16" s="243"/>
    </row>
    <row r="17" spans="1:10" ht="30" customHeight="1" x14ac:dyDescent="0.25">
      <c r="A17" s="100"/>
      <c r="B17" s="24"/>
      <c r="C17" s="291" t="s">
        <v>135</v>
      </c>
      <c r="D17" s="291"/>
      <c r="E17" s="291"/>
      <c r="F17" s="291"/>
      <c r="G17" s="291"/>
      <c r="H17" s="291"/>
      <c r="I17" s="100"/>
      <c r="J17" s="156"/>
    </row>
    <row r="18" spans="1:10" ht="15" customHeight="1" x14ac:dyDescent="0.25">
      <c r="A18" s="1"/>
      <c r="B18" s="240"/>
      <c r="C18" s="271"/>
      <c r="D18" s="271"/>
      <c r="E18" s="108"/>
      <c r="F18" s="271"/>
      <c r="G18" s="271"/>
      <c r="H18" s="271"/>
      <c r="I18" s="271"/>
      <c r="J18" s="183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1"/>
      <c r="I20" s="257"/>
      <c r="J20" s="3"/>
    </row>
    <row r="21" spans="1:10" ht="12" customHeight="1" x14ac:dyDescent="0.25">
      <c r="A21" s="1"/>
      <c r="B21" s="253"/>
      <c r="C21" s="30"/>
      <c r="D21" s="1"/>
      <c r="E21" s="1"/>
      <c r="F21" s="1"/>
      <c r="G21" s="1"/>
      <c r="H21" s="1"/>
      <c r="I21" s="1"/>
      <c r="J21" s="119"/>
    </row>
    <row r="22" spans="1:10" ht="61.5" customHeight="1" x14ac:dyDescent="0.25">
      <c r="A22" s="155"/>
      <c r="B22" s="51"/>
      <c r="C22" s="15" t="s">
        <v>16</v>
      </c>
      <c r="D22" s="112" t="s">
        <v>17</v>
      </c>
      <c r="E22" s="67" t="s">
        <v>18</v>
      </c>
      <c r="F22" s="67" t="s">
        <v>147</v>
      </c>
      <c r="G22" s="67" t="s">
        <v>148</v>
      </c>
      <c r="H22" s="67" t="s">
        <v>149</v>
      </c>
      <c r="I22" s="67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7">
        <f>D24+D25</f>
        <v>62439</v>
      </c>
      <c r="E23" s="27">
        <f>E24+E25</f>
        <v>61127</v>
      </c>
      <c r="F23" s="27">
        <f t="shared" ref="F23:I23" si="0">F25+F24</f>
        <v>2872.2389900000003</v>
      </c>
      <c r="G23" s="27">
        <f t="shared" si="0"/>
        <v>58838.888220000001</v>
      </c>
      <c r="H23" s="11">
        <f t="shared" si="0"/>
        <v>2288.1117800000002</v>
      </c>
      <c r="I23" s="11">
        <f t="shared" si="0"/>
        <v>88084.716749999992</v>
      </c>
      <c r="J23" s="243"/>
    </row>
    <row r="24" spans="1:10" ht="14.1" customHeight="1" x14ac:dyDescent="0.25">
      <c r="A24" s="1"/>
      <c r="B24" s="253"/>
      <c r="C24" s="43" t="s">
        <v>20</v>
      </c>
      <c r="D24" s="44">
        <v>61689</v>
      </c>
      <c r="E24" s="44">
        <v>60356</v>
      </c>
      <c r="F24" s="23">
        <f>2764.83899</f>
        <v>2764.8389900000002</v>
      </c>
      <c r="G24" s="23">
        <v>58071</v>
      </c>
      <c r="H24" s="23">
        <f>E24-G24</f>
        <v>2285</v>
      </c>
      <c r="I24" s="23">
        <f>87320.40874</f>
        <v>87320.408739999999</v>
      </c>
      <c r="J24" s="243"/>
    </row>
    <row r="25" spans="1:10" ht="14.1" customHeight="1" x14ac:dyDescent="0.25">
      <c r="A25" s="1"/>
      <c r="B25" s="253"/>
      <c r="C25" s="47" t="s">
        <v>21</v>
      </c>
      <c r="D25" s="48">
        <v>750</v>
      </c>
      <c r="E25" s="48">
        <v>771</v>
      </c>
      <c r="F25" s="170">
        <f>107.4</f>
        <v>107.4</v>
      </c>
      <c r="G25" s="23">
        <f>767.88822</f>
        <v>767.88822000000005</v>
      </c>
      <c r="H25" s="23">
        <f>E25-G25</f>
        <v>3.1117799999999534</v>
      </c>
      <c r="I25" s="23">
        <f>764.30801</f>
        <v>764.30800999999997</v>
      </c>
      <c r="J25" s="243"/>
    </row>
    <row r="26" spans="1:10" ht="14.1" customHeight="1" x14ac:dyDescent="0.25">
      <c r="A26" s="1"/>
      <c r="B26" s="253"/>
      <c r="C26" s="16" t="s">
        <v>22</v>
      </c>
      <c r="D26" s="27">
        <f>D27+D33+D34</f>
        <v>139173</v>
      </c>
      <c r="E26" s="27">
        <f>E27+E33+E34</f>
        <v>144865</v>
      </c>
      <c r="F26" s="27">
        <f t="shared" ref="F26:I26" si="1">F34+F33+F27</f>
        <v>248.93901999999997</v>
      </c>
      <c r="G26" s="11">
        <f t="shared" si="1"/>
        <v>137268</v>
      </c>
      <c r="H26" s="11">
        <f t="shared" si="1"/>
        <v>7597</v>
      </c>
      <c r="I26" s="11">
        <f t="shared" si="1"/>
        <v>207890.66182000001</v>
      </c>
      <c r="J26" s="243"/>
    </row>
    <row r="27" spans="1:10" ht="15" customHeight="1" x14ac:dyDescent="0.25">
      <c r="A27" s="50"/>
      <c r="B27" s="52"/>
      <c r="C27" s="55" t="s">
        <v>23</v>
      </c>
      <c r="D27" s="57">
        <f>D28+D29+D30+D31+D32</f>
        <v>108142</v>
      </c>
      <c r="E27" s="57">
        <f>E28+E29+E30+E31+E32</f>
        <v>113047</v>
      </c>
      <c r="F27" s="131">
        <f>F28+F29+F30+F31+F32</f>
        <v>207.06307999999999</v>
      </c>
      <c r="G27" s="131">
        <f t="shared" ref="G27:I27" si="2">G28+G29+G30+G31+G32</f>
        <v>108420</v>
      </c>
      <c r="H27" s="131">
        <f t="shared" si="2"/>
        <v>4627</v>
      </c>
      <c r="I27" s="131">
        <f t="shared" si="2"/>
        <v>156957.75099</v>
      </c>
      <c r="J27" s="243"/>
    </row>
    <row r="28" spans="1:10" ht="14.1" customHeight="1" x14ac:dyDescent="0.25">
      <c r="A28" s="196"/>
      <c r="B28" s="181"/>
      <c r="C28" s="61" t="s">
        <v>24</v>
      </c>
      <c r="D28" s="62">
        <v>26791</v>
      </c>
      <c r="E28" s="62">
        <v>28644</v>
      </c>
      <c r="F28" s="202">
        <f>47.30898</f>
        <v>47.308979999999998</v>
      </c>
      <c r="G28" s="126">
        <f>28722 - G56</f>
        <v>26503</v>
      </c>
      <c r="H28" s="126">
        <f t="shared" ref="H28:H40" si="3">E28-G28</f>
        <v>2141</v>
      </c>
      <c r="I28" s="126">
        <f>39760.00098 - H56</f>
        <v>39760.000979999997</v>
      </c>
      <c r="J28" s="64"/>
    </row>
    <row r="29" spans="1:10" ht="14.1" customHeight="1" x14ac:dyDescent="0.25">
      <c r="A29" s="196"/>
      <c r="B29" s="181"/>
      <c r="C29" s="61" t="s">
        <v>25</v>
      </c>
      <c r="D29" s="62">
        <v>28753</v>
      </c>
      <c r="E29" s="62">
        <v>29680</v>
      </c>
      <c r="F29" s="126">
        <f>67.52086</f>
        <v>67.520859999999999</v>
      </c>
      <c r="G29" s="126">
        <f>31291 - G57</f>
        <v>28700</v>
      </c>
      <c r="H29" s="126">
        <f t="shared" si="3"/>
        <v>980</v>
      </c>
      <c r="I29" s="126">
        <f>43277.59308 - H57</f>
        <v>43277.593079999999</v>
      </c>
      <c r="J29" s="64"/>
    </row>
    <row r="30" spans="1:10" ht="14.1" customHeight="1" x14ac:dyDescent="0.25">
      <c r="A30" s="196"/>
      <c r="B30" s="181"/>
      <c r="C30" s="61" t="s">
        <v>26</v>
      </c>
      <c r="D30" s="62">
        <v>25789</v>
      </c>
      <c r="E30" s="62">
        <v>27259</v>
      </c>
      <c r="F30" s="126">
        <f>2.0055</f>
        <v>2.0055000000000001</v>
      </c>
      <c r="G30" s="126">
        <f>27893 - G58</f>
        <v>26348</v>
      </c>
      <c r="H30" s="126">
        <f t="shared" si="3"/>
        <v>911</v>
      </c>
      <c r="I30" s="126">
        <f>38670.56993 - H58</f>
        <v>38670.569929999998</v>
      </c>
      <c r="J30" s="64"/>
    </row>
    <row r="31" spans="1:10" ht="14.1" customHeight="1" x14ac:dyDescent="0.25">
      <c r="A31" s="196"/>
      <c r="B31" s="181"/>
      <c r="C31" s="61" t="s">
        <v>27</v>
      </c>
      <c r="D31" s="62">
        <v>18937</v>
      </c>
      <c r="E31" s="62">
        <v>19364</v>
      </c>
      <c r="F31" s="126">
        <f>0.22774</f>
        <v>0.22774</v>
      </c>
      <c r="G31" s="126">
        <f>20514 - G59</f>
        <v>19128</v>
      </c>
      <c r="H31" s="126">
        <f t="shared" si="3"/>
        <v>236</v>
      </c>
      <c r="I31" s="126">
        <f>25813.587 - H59</f>
        <v>25813.587</v>
      </c>
      <c r="J31" s="64"/>
    </row>
    <row r="32" spans="1:10" ht="14.1" customHeight="1" x14ac:dyDescent="0.25">
      <c r="A32" s="196"/>
      <c r="B32" s="181"/>
      <c r="C32" s="61" t="s">
        <v>28</v>
      </c>
      <c r="D32" s="62">
        <v>7872</v>
      </c>
      <c r="E32" s="62">
        <v>8100</v>
      </c>
      <c r="F32" s="126">
        <f>F55</f>
        <v>90</v>
      </c>
      <c r="G32" s="126">
        <f>G55</f>
        <v>7741</v>
      </c>
      <c r="H32" s="126">
        <f t="shared" si="3"/>
        <v>359</v>
      </c>
      <c r="I32" s="126">
        <f>I55</f>
        <v>9436</v>
      </c>
      <c r="J32" s="64"/>
    </row>
    <row r="33" spans="1:13" ht="14.1" customHeight="1" x14ac:dyDescent="0.25">
      <c r="A33" s="65"/>
      <c r="B33" s="52"/>
      <c r="C33" s="55" t="s">
        <v>29</v>
      </c>
      <c r="D33" s="57">
        <v>16997</v>
      </c>
      <c r="E33" s="57">
        <v>16749</v>
      </c>
      <c r="F33" s="131">
        <f>11.80644</f>
        <v>11.80644</v>
      </c>
      <c r="G33" s="131">
        <f>15928</f>
        <v>15928</v>
      </c>
      <c r="H33" s="131">
        <f t="shared" si="3"/>
        <v>821</v>
      </c>
      <c r="I33" s="131">
        <f>23826.90154</f>
        <v>23826.901539999999</v>
      </c>
      <c r="J33" s="64"/>
    </row>
    <row r="34" spans="1:13" ht="14.1" customHeight="1" x14ac:dyDescent="0.25">
      <c r="A34" s="65"/>
      <c r="B34" s="52"/>
      <c r="C34" s="55" t="s">
        <v>30</v>
      </c>
      <c r="D34" s="57">
        <f>D35+D36</f>
        <v>14034</v>
      </c>
      <c r="E34" s="57">
        <v>15069</v>
      </c>
      <c r="F34" s="131">
        <f>F35+F36</f>
        <v>30.069500000000001</v>
      </c>
      <c r="G34" s="131">
        <f>G35+G36</f>
        <v>12920</v>
      </c>
      <c r="H34" s="131">
        <f t="shared" si="3"/>
        <v>2149</v>
      </c>
      <c r="I34" s="131">
        <f>I35+I36</f>
        <v>27106.009290000002</v>
      </c>
      <c r="J34" s="64"/>
    </row>
    <row r="35" spans="1:13" ht="14.1" customHeight="1" x14ac:dyDescent="0.25">
      <c r="A35" s="196"/>
      <c r="B35" s="181"/>
      <c r="C35" s="61" t="s">
        <v>31</v>
      </c>
      <c r="D35" s="62">
        <v>13074</v>
      </c>
      <c r="E35" s="62">
        <f>E34-E36</f>
        <v>14109</v>
      </c>
      <c r="F35" s="126">
        <f>16.0695</f>
        <v>16.069500000000001</v>
      </c>
      <c r="G35" s="131">
        <f>15874 - G60 - G61</f>
        <v>11761</v>
      </c>
      <c r="H35" s="126">
        <f t="shared" si="3"/>
        <v>2348</v>
      </c>
      <c r="I35" s="126">
        <f>25817.00929 - H60 - H61</f>
        <v>25970.009290000002</v>
      </c>
      <c r="J35" s="64"/>
    </row>
    <row r="36" spans="1:13" ht="14.1" customHeight="1" x14ac:dyDescent="0.25">
      <c r="A36" s="196"/>
      <c r="B36" s="181"/>
      <c r="C36" s="68" t="s">
        <v>32</v>
      </c>
      <c r="D36" s="69">
        <v>960</v>
      </c>
      <c r="E36" s="69">
        <v>960</v>
      </c>
      <c r="F36" s="70">
        <f>F60</f>
        <v>14</v>
      </c>
      <c r="G36" s="70">
        <f>G60</f>
        <v>1159</v>
      </c>
      <c r="H36" s="70">
        <f t="shared" si="3"/>
        <v>-199</v>
      </c>
      <c r="I36" s="70">
        <f>I60</f>
        <v>1136</v>
      </c>
      <c r="J36" s="64"/>
    </row>
    <row r="37" spans="1:13" ht="15.75" customHeight="1" x14ac:dyDescent="0.25">
      <c r="A37" s="1"/>
      <c r="B37" s="253"/>
      <c r="C37" s="72" t="s">
        <v>33</v>
      </c>
      <c r="D37" s="142">
        <v>2000</v>
      </c>
      <c r="E37" s="142">
        <v>2000</v>
      </c>
      <c r="F37" s="138">
        <f>0</f>
        <v>0</v>
      </c>
      <c r="G37" s="138">
        <f>348.3612</f>
        <v>348.3612</v>
      </c>
      <c r="H37" s="138">
        <f t="shared" si="3"/>
        <v>1651.6387999999999</v>
      </c>
      <c r="I37" s="138">
        <f>746.7916</f>
        <v>746.79160000000002</v>
      </c>
      <c r="J37" s="243"/>
    </row>
    <row r="38" spans="1:13" ht="14.1" customHeight="1" x14ac:dyDescent="0.25">
      <c r="A38" s="1"/>
      <c r="B38" s="253"/>
      <c r="C38" s="72" t="s">
        <v>34</v>
      </c>
      <c r="D38" s="142">
        <v>855</v>
      </c>
      <c r="E38" s="142">
        <v>855</v>
      </c>
      <c r="F38" s="97">
        <f>7.51139</f>
        <v>7.5113899999999996</v>
      </c>
      <c r="G38" s="97">
        <f>555.23491</f>
        <v>555.23491000000001</v>
      </c>
      <c r="H38" s="97">
        <f t="shared" si="3"/>
        <v>299.76508999999999</v>
      </c>
      <c r="I38" s="97">
        <f>720.04938</f>
        <v>720.04938000000004</v>
      </c>
      <c r="J38" s="243"/>
    </row>
    <row r="39" spans="1:13" ht="17.25" customHeight="1" x14ac:dyDescent="0.25">
      <c r="A39" s="1"/>
      <c r="B39" s="253"/>
      <c r="C39" s="72" t="s">
        <v>35</v>
      </c>
      <c r="D39" s="142">
        <v>3000</v>
      </c>
      <c r="E39" s="142">
        <v>3000</v>
      </c>
      <c r="F39" s="97">
        <f>F61</f>
        <v>3</v>
      </c>
      <c r="G39" s="97">
        <f>G61</f>
        <v>2954</v>
      </c>
      <c r="H39" s="97">
        <f t="shared" si="3"/>
        <v>46</v>
      </c>
      <c r="I39" s="97">
        <f>I61</f>
        <v>4552</v>
      </c>
      <c r="J39" s="243"/>
    </row>
    <row r="40" spans="1:13" ht="17.25" customHeight="1" x14ac:dyDescent="0.25">
      <c r="A40" s="1"/>
      <c r="B40" s="253"/>
      <c r="C40" s="72" t="s">
        <v>36</v>
      </c>
      <c r="D40" s="142">
        <v>7000</v>
      </c>
      <c r="E40" s="142">
        <v>7000</v>
      </c>
      <c r="F40" s="97">
        <f>0.042</f>
        <v>4.2000000000000003E-2</v>
      </c>
      <c r="G40" s="97">
        <f>E40</f>
        <v>7000</v>
      </c>
      <c r="H40" s="97">
        <f t="shared" si="3"/>
        <v>0</v>
      </c>
      <c r="I40" s="97">
        <f>E40</f>
        <v>7000</v>
      </c>
      <c r="J40" s="243"/>
    </row>
    <row r="41" spans="1:13" ht="17.25" customHeight="1" x14ac:dyDescent="0.25">
      <c r="A41" s="1"/>
      <c r="B41" s="253"/>
      <c r="C41" s="72" t="s">
        <v>38</v>
      </c>
      <c r="D41" s="142">
        <v>400</v>
      </c>
      <c r="E41" s="142">
        <v>400</v>
      </c>
      <c r="F41" s="97">
        <f>0.3267</f>
        <v>0.32669999999999999</v>
      </c>
      <c r="G41" s="97">
        <f>379.74215</f>
        <v>379.74214999999998</v>
      </c>
      <c r="H41" s="97">
        <f>E41-G41</f>
        <v>20.257850000000019</v>
      </c>
      <c r="I41" s="97">
        <f>386.7878</f>
        <v>386.7878</v>
      </c>
      <c r="J41" s="243"/>
    </row>
    <row r="42" spans="1:13" ht="17.25" customHeight="1" x14ac:dyDescent="0.25">
      <c r="A42" s="1"/>
      <c r="B42" s="253"/>
      <c r="C42" s="72" t="s">
        <v>125</v>
      </c>
      <c r="D42" s="142">
        <v>100</v>
      </c>
      <c r="E42" s="142">
        <v>100</v>
      </c>
      <c r="F42" s="97"/>
      <c r="G42" s="97">
        <v>5</v>
      </c>
      <c r="H42" s="97">
        <f>E42-G42</f>
        <v>95</v>
      </c>
      <c r="I42" s="97"/>
      <c r="J42" s="243"/>
      <c r="M42" s="224"/>
    </row>
    <row r="43" spans="1:13" ht="14.1" customHeight="1" x14ac:dyDescent="0.25">
      <c r="A43" s="1"/>
      <c r="B43" s="253"/>
      <c r="C43" s="72" t="s">
        <v>39</v>
      </c>
      <c r="D43" s="142"/>
      <c r="E43" s="138"/>
      <c r="F43" s="138">
        <f>0.44242</f>
        <v>0.44241999999999998</v>
      </c>
      <c r="G43" s="138">
        <v>181</v>
      </c>
      <c r="H43" s="138">
        <f t="shared" ref="H43" si="4">E43-G43</f>
        <v>-181</v>
      </c>
      <c r="I43" s="138">
        <f>208.36877</f>
        <v>208.36877000000001</v>
      </c>
      <c r="J43" s="243"/>
    </row>
    <row r="44" spans="1:13" ht="16.5" customHeight="1" x14ac:dyDescent="0.25">
      <c r="A44" s="1"/>
      <c r="B44" s="253"/>
      <c r="C44" s="73" t="s">
        <v>40</v>
      </c>
      <c r="D44" s="75">
        <f t="shared" ref="D44:I44" si="5">D23+D26+D37+D38+D39+D40+D41+D42+D43</f>
        <v>214967</v>
      </c>
      <c r="E44" s="75">
        <f t="shared" si="5"/>
        <v>219347</v>
      </c>
      <c r="F44" s="75">
        <f t="shared" si="5"/>
        <v>3132.5005200000001</v>
      </c>
      <c r="G44" s="75">
        <f t="shared" si="5"/>
        <v>207530.22648000001</v>
      </c>
      <c r="H44" s="75">
        <f t="shared" si="5"/>
        <v>11816.773520000001</v>
      </c>
      <c r="I44" s="75">
        <f t="shared" si="5"/>
        <v>309589.37611999997</v>
      </c>
      <c r="J44" s="243"/>
    </row>
    <row r="45" spans="1:13" ht="14.1" customHeight="1" x14ac:dyDescent="0.25">
      <c r="A45" s="100"/>
      <c r="B45" s="24"/>
      <c r="C45" s="76" t="s">
        <v>126</v>
      </c>
      <c r="D45" s="257"/>
      <c r="E45" s="257"/>
      <c r="F45" s="79"/>
      <c r="G45" s="79"/>
      <c r="H45" s="227"/>
      <c r="I45" s="227"/>
      <c r="J45" s="80"/>
    </row>
    <row r="46" spans="1:13" ht="14.1" customHeight="1" x14ac:dyDescent="0.25">
      <c r="A46" s="100"/>
      <c r="B46" s="24"/>
      <c r="C46" s="81" t="s">
        <v>41</v>
      </c>
      <c r="D46" s="257"/>
      <c r="E46" s="257"/>
      <c r="F46" s="257"/>
      <c r="G46" s="79"/>
      <c r="H46" s="177"/>
      <c r="I46" s="177"/>
      <c r="J46" s="243"/>
    </row>
    <row r="47" spans="1:13" ht="14.1" customHeight="1" x14ac:dyDescent="0.25">
      <c r="A47" s="100"/>
      <c r="B47" s="24"/>
      <c r="C47" s="160" t="s">
        <v>145</v>
      </c>
      <c r="D47" s="257"/>
      <c r="E47" s="257"/>
      <c r="F47" s="257"/>
      <c r="G47" s="79"/>
      <c r="H47" s="177"/>
      <c r="I47" s="177"/>
      <c r="J47" s="119"/>
    </row>
    <row r="48" spans="1:13" ht="14.1" customHeight="1" x14ac:dyDescent="0.25">
      <c r="A48" s="100"/>
      <c r="B48" s="24"/>
      <c r="C48" s="160" t="s">
        <v>127</v>
      </c>
      <c r="D48" s="257"/>
      <c r="E48" s="257"/>
      <c r="F48" s="257"/>
      <c r="G48" s="257"/>
      <c r="H48" s="177"/>
      <c r="I48" s="177"/>
      <c r="J48" s="119"/>
    </row>
    <row r="49" spans="1:10" ht="14.1" customHeight="1" x14ac:dyDescent="0.25">
      <c r="A49" s="100"/>
      <c r="B49" s="24"/>
      <c r="C49" s="100" t="s">
        <v>42</v>
      </c>
      <c r="D49" s="257"/>
      <c r="E49" s="257"/>
      <c r="F49" s="257"/>
      <c r="G49" s="257"/>
      <c r="H49" s="177"/>
      <c r="I49" s="177"/>
      <c r="J49" s="119"/>
    </row>
    <row r="50" spans="1:10" ht="14.1" customHeight="1" x14ac:dyDescent="0.25">
      <c r="A50" s="100"/>
      <c r="B50" s="24"/>
      <c r="C50" s="100"/>
      <c r="D50" s="257"/>
      <c r="E50" s="257"/>
      <c r="F50" s="257"/>
      <c r="G50" s="257"/>
      <c r="H50" s="177"/>
      <c r="I50" s="177"/>
      <c r="J50" s="119"/>
    </row>
    <row r="51" spans="1:10" ht="20.25" customHeight="1" x14ac:dyDescent="0.25">
      <c r="A51" s="100"/>
      <c r="B51" s="240"/>
      <c r="C51" s="271"/>
      <c r="D51" s="271"/>
      <c r="E51" s="108"/>
      <c r="F51" s="271"/>
      <c r="G51" s="271"/>
      <c r="H51" s="271"/>
      <c r="I51" s="271"/>
      <c r="J51" s="183"/>
    </row>
    <row r="52" spans="1:10" ht="33" customHeight="1" x14ac:dyDescent="0.25">
      <c r="A52" s="100"/>
      <c r="B52" s="24"/>
      <c r="C52" s="302" t="s">
        <v>43</v>
      </c>
      <c r="D52" s="302"/>
      <c r="E52" s="302"/>
      <c r="F52" s="302"/>
      <c r="G52" s="302"/>
      <c r="H52" s="302"/>
      <c r="I52" s="82"/>
      <c r="J52" s="83"/>
    </row>
    <row r="53" spans="1:10" ht="7.5" customHeight="1" x14ac:dyDescent="0.25">
      <c r="A53" s="100"/>
      <c r="B53" s="24"/>
      <c r="C53" s="160"/>
      <c r="D53" s="257"/>
      <c r="E53" s="257"/>
      <c r="F53" s="257"/>
      <c r="G53" s="257"/>
      <c r="H53" s="177"/>
      <c r="I53" s="177"/>
      <c r="J53" s="119"/>
    </row>
    <row r="54" spans="1:10" ht="61.5" customHeight="1" x14ac:dyDescent="0.25">
      <c r="A54" s="100"/>
      <c r="B54" s="24"/>
      <c r="C54" s="85" t="s">
        <v>16</v>
      </c>
      <c r="D54" s="67" t="s">
        <v>44</v>
      </c>
      <c r="E54" s="67" t="s">
        <v>139</v>
      </c>
      <c r="F54" s="67" t="s">
        <v>147</v>
      </c>
      <c r="G54" s="67" t="s">
        <v>148</v>
      </c>
      <c r="H54" s="67" t="s">
        <v>149</v>
      </c>
      <c r="I54" s="67" t="s">
        <v>150</v>
      </c>
      <c r="J54" s="243"/>
    </row>
    <row r="55" spans="1:10" ht="14.1" customHeight="1" x14ac:dyDescent="0.25">
      <c r="A55" s="100"/>
      <c r="B55" s="24"/>
      <c r="C55" s="16" t="s">
        <v>45</v>
      </c>
      <c r="D55" s="303">
        <v>7872</v>
      </c>
      <c r="E55" s="303">
        <v>8100</v>
      </c>
      <c r="F55" s="11">
        <f>F59+F58+F57+F56</f>
        <v>90</v>
      </c>
      <c r="G55" s="11">
        <f>G59+G58+G57+G56</f>
        <v>7741</v>
      </c>
      <c r="H55" s="303">
        <f>E55-G55</f>
        <v>359</v>
      </c>
      <c r="I55" s="11">
        <f>I59+I58+I57+I56</f>
        <v>9436</v>
      </c>
      <c r="J55" s="119"/>
    </row>
    <row r="56" spans="1:10" ht="14.1" customHeight="1" x14ac:dyDescent="0.25">
      <c r="A56" s="100"/>
      <c r="B56" s="24"/>
      <c r="C56" s="61" t="s">
        <v>24</v>
      </c>
      <c r="D56" s="304"/>
      <c r="E56" s="304"/>
      <c r="F56" s="126">
        <v>25</v>
      </c>
      <c r="G56" s="126">
        <v>2219</v>
      </c>
      <c r="H56" s="304"/>
      <c r="I56" s="126">
        <v>1967</v>
      </c>
      <c r="J56" s="119"/>
    </row>
    <row r="57" spans="1:10" ht="14.1" customHeight="1" x14ac:dyDescent="0.25">
      <c r="A57" s="100"/>
      <c r="B57" s="24"/>
      <c r="C57" s="61" t="s">
        <v>25</v>
      </c>
      <c r="D57" s="304"/>
      <c r="E57" s="304"/>
      <c r="F57" s="126">
        <v>60</v>
      </c>
      <c r="G57" s="126">
        <v>2591</v>
      </c>
      <c r="H57" s="304"/>
      <c r="I57" s="126">
        <v>3268</v>
      </c>
      <c r="J57" s="243"/>
    </row>
    <row r="58" spans="1:10" ht="14.1" customHeight="1" x14ac:dyDescent="0.25">
      <c r="A58" s="100"/>
      <c r="B58" s="24"/>
      <c r="C58" s="61" t="s">
        <v>26</v>
      </c>
      <c r="D58" s="304"/>
      <c r="E58" s="304"/>
      <c r="F58" s="126">
        <v>2</v>
      </c>
      <c r="G58" s="126">
        <v>1545</v>
      </c>
      <c r="H58" s="304"/>
      <c r="I58" s="126">
        <v>2792</v>
      </c>
      <c r="J58" s="119"/>
    </row>
    <row r="59" spans="1:10" ht="14.1" customHeight="1" x14ac:dyDescent="0.25">
      <c r="A59" s="100"/>
      <c r="B59" s="24"/>
      <c r="C59" s="86" t="s">
        <v>27</v>
      </c>
      <c r="D59" s="305"/>
      <c r="E59" s="305"/>
      <c r="F59" s="191">
        <v>3</v>
      </c>
      <c r="G59" s="191">
        <v>1386</v>
      </c>
      <c r="H59" s="305"/>
      <c r="I59" s="191">
        <v>1409</v>
      </c>
      <c r="J59" s="119"/>
    </row>
    <row r="60" spans="1:10" ht="14.1" customHeight="1" x14ac:dyDescent="0.25">
      <c r="A60" s="100"/>
      <c r="B60" s="24"/>
      <c r="C60" s="87" t="s">
        <v>46</v>
      </c>
      <c r="D60" s="94">
        <v>960</v>
      </c>
      <c r="E60" s="94">
        <v>960</v>
      </c>
      <c r="F60" s="94">
        <v>14</v>
      </c>
      <c r="G60" s="94">
        <v>1159</v>
      </c>
      <c r="H60" s="94">
        <f>E60-G60</f>
        <v>-199</v>
      </c>
      <c r="I60" s="94">
        <v>1136</v>
      </c>
      <c r="J60" s="243"/>
    </row>
    <row r="61" spans="1:10" ht="14.1" customHeight="1" x14ac:dyDescent="0.25">
      <c r="A61" s="100"/>
      <c r="B61" s="24"/>
      <c r="C61" s="141" t="s">
        <v>47</v>
      </c>
      <c r="D61" s="138">
        <v>3000</v>
      </c>
      <c r="E61" s="138">
        <v>3000</v>
      </c>
      <c r="F61" s="138">
        <v>3</v>
      </c>
      <c r="G61" s="138">
        <v>2954</v>
      </c>
      <c r="H61" s="138">
        <f>E61-G61</f>
        <v>46</v>
      </c>
      <c r="I61" s="138">
        <v>4552</v>
      </c>
      <c r="J61" s="119"/>
    </row>
    <row r="62" spans="1:10" ht="14.1" customHeight="1" x14ac:dyDescent="0.25">
      <c r="A62" s="100"/>
      <c r="B62" s="24"/>
      <c r="C62" s="76" t="s">
        <v>128</v>
      </c>
      <c r="D62" s="257"/>
      <c r="E62" s="257"/>
      <c r="F62" s="257"/>
      <c r="G62" s="257"/>
      <c r="H62" s="177"/>
      <c r="I62" s="177"/>
      <c r="J62" s="119"/>
    </row>
    <row r="63" spans="1:10" ht="14.1" customHeight="1" x14ac:dyDescent="0.25">
      <c r="A63" s="100"/>
      <c r="B63" s="24"/>
      <c r="C63" s="160"/>
      <c r="D63" s="257"/>
      <c r="E63" s="257"/>
      <c r="F63" s="257"/>
      <c r="G63" s="257"/>
      <c r="H63" s="177"/>
      <c r="I63" s="177"/>
      <c r="J63" s="119"/>
    </row>
    <row r="64" spans="1:10" ht="15" customHeight="1" x14ac:dyDescent="0.25">
      <c r="A64" s="100"/>
      <c r="B64" s="24"/>
      <c r="C64" s="160"/>
      <c r="D64" s="257"/>
      <c r="E64" s="257"/>
      <c r="F64" s="257"/>
      <c r="G64" s="257"/>
      <c r="H64" s="177"/>
      <c r="I64" s="177"/>
      <c r="J64" s="119"/>
    </row>
    <row r="65" spans="1:10" ht="12" customHeight="1" x14ac:dyDescent="0.25">
      <c r="A65" s="100"/>
      <c r="B65" s="91"/>
      <c r="C65" s="200"/>
      <c r="D65" s="58"/>
      <c r="E65" s="58"/>
      <c r="F65" s="58"/>
      <c r="G65" s="58"/>
      <c r="H65" s="105"/>
      <c r="I65" s="105"/>
      <c r="J65" s="117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8"/>
      <c r="E67" s="118"/>
      <c r="F67" s="118"/>
      <c r="G67" s="118"/>
      <c r="H67" s="1"/>
      <c r="I67" s="1"/>
      <c r="J67" s="1"/>
    </row>
    <row r="68" spans="1:10" x14ac:dyDescent="0.25">
      <c r="B68" s="1" t="s">
        <v>113</v>
      </c>
      <c r="C68" s="287"/>
      <c r="D68" s="118"/>
      <c r="E68" s="118"/>
      <c r="F68" s="118"/>
      <c r="G68" s="118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7"/>
      <c r="C80" s="153"/>
      <c r="D80" s="153"/>
      <c r="E80" s="153"/>
      <c r="F80" s="153"/>
      <c r="G80" s="153"/>
      <c r="H80" s="153"/>
      <c r="I80" s="153"/>
      <c r="J80" s="161"/>
    </row>
    <row r="81" spans="1:10" ht="16.5" customHeight="1" x14ac:dyDescent="0.25">
      <c r="B81" s="51"/>
      <c r="C81" s="298" t="s">
        <v>1</v>
      </c>
      <c r="D81" s="299"/>
      <c r="E81" s="298" t="s">
        <v>2</v>
      </c>
      <c r="F81" s="306"/>
      <c r="G81" s="298" t="s">
        <v>3</v>
      </c>
      <c r="H81" s="299"/>
      <c r="I81" s="177"/>
      <c r="J81" s="243"/>
    </row>
    <row r="82" spans="1:10" ht="15" customHeight="1" x14ac:dyDescent="0.25">
      <c r="B82" s="253"/>
      <c r="C82" s="114" t="s">
        <v>6</v>
      </c>
      <c r="D82" s="116">
        <v>70605</v>
      </c>
      <c r="E82" s="258" t="s">
        <v>4</v>
      </c>
      <c r="F82" s="113">
        <v>26707</v>
      </c>
      <c r="G82" s="190" t="s">
        <v>5</v>
      </c>
      <c r="H82" s="113">
        <v>7843</v>
      </c>
      <c r="I82" s="177"/>
      <c r="J82" s="243"/>
    </row>
    <row r="83" spans="1:10" ht="15" customHeight="1" x14ac:dyDescent="0.25">
      <c r="B83" s="253"/>
      <c r="C83" s="114" t="s">
        <v>9</v>
      </c>
      <c r="D83" s="116">
        <v>61605</v>
      </c>
      <c r="E83" s="247" t="s">
        <v>7</v>
      </c>
      <c r="F83" s="116">
        <v>43575</v>
      </c>
      <c r="G83" s="190" t="s">
        <v>8</v>
      </c>
      <c r="H83" s="116">
        <v>32246</v>
      </c>
      <c r="I83" s="177"/>
      <c r="J83" s="243"/>
    </row>
    <row r="84" spans="1:10" ht="14.1" customHeight="1" x14ac:dyDescent="0.25">
      <c r="B84" s="253"/>
      <c r="C84" s="114" t="s">
        <v>74</v>
      </c>
      <c r="D84" s="116">
        <v>8790</v>
      </c>
      <c r="E84" s="114" t="s">
        <v>10</v>
      </c>
      <c r="F84" s="116">
        <v>1891</v>
      </c>
      <c r="G84" s="190" t="s">
        <v>11</v>
      </c>
      <c r="H84" s="116">
        <v>3486</v>
      </c>
      <c r="I84" s="177"/>
      <c r="J84" s="243"/>
    </row>
    <row r="85" spans="1:10" ht="12" customHeight="1" x14ac:dyDescent="0.25">
      <c r="B85" s="253"/>
      <c r="C85" s="176" t="s">
        <v>49</v>
      </c>
      <c r="D85" s="188">
        <f>SUM(D82:D84)</f>
        <v>141000</v>
      </c>
      <c r="E85" s="176" t="s">
        <v>14</v>
      </c>
      <c r="F85" s="188">
        <f>SUM(F82:F84)</f>
        <v>72173</v>
      </c>
      <c r="G85" s="176" t="s">
        <v>7</v>
      </c>
      <c r="H85" s="188">
        <f>SUM(H82:H84)</f>
        <v>43575</v>
      </c>
      <c r="I85" s="177"/>
      <c r="J85" s="243"/>
    </row>
    <row r="86" spans="1:10" ht="14.25" customHeight="1" x14ac:dyDescent="0.25">
      <c r="A86" s="1"/>
      <c r="B86" s="253"/>
      <c r="C86" s="100" t="s">
        <v>136</v>
      </c>
      <c r="D86" s="219"/>
      <c r="E86" s="219"/>
      <c r="F86" s="219"/>
      <c r="G86" s="219"/>
      <c r="H86" s="219"/>
      <c r="I86" s="235"/>
      <c r="J86" s="119"/>
    </row>
    <row r="87" spans="1:10" ht="6" customHeight="1" x14ac:dyDescent="0.25">
      <c r="A87" s="1"/>
      <c r="B87" s="253"/>
      <c r="C87" s="95"/>
      <c r="D87" s="95"/>
      <c r="E87" s="95"/>
      <c r="F87" s="95"/>
      <c r="G87" s="95"/>
      <c r="H87" s="95"/>
      <c r="I87" s="235"/>
      <c r="J87" s="119"/>
    </row>
    <row r="88" spans="1:10" ht="14.1" customHeight="1" x14ac:dyDescent="0.25">
      <c r="A88" s="1"/>
      <c r="B88" s="134"/>
      <c r="C88" s="271"/>
      <c r="D88" s="108"/>
      <c r="E88" s="271"/>
      <c r="F88" s="271"/>
      <c r="G88" s="271"/>
      <c r="H88" s="271"/>
      <c r="I88" s="260"/>
      <c r="J88" s="183"/>
    </row>
    <row r="89" spans="1:10" ht="20.25" customHeight="1" x14ac:dyDescent="0.25">
      <c r="A89" s="1"/>
      <c r="B89" s="253"/>
      <c r="C89" s="18" t="str">
        <f>C20</f>
        <v>KVOTE- OG FANGSTOVERSIKT</v>
      </c>
      <c r="D89" s="95"/>
      <c r="E89" s="95"/>
      <c r="F89" s="95"/>
      <c r="G89" s="95"/>
      <c r="H89" s="95"/>
      <c r="I89" s="1"/>
      <c r="J89" s="119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2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19"/>
    </row>
    <row r="92" spans="1:10" ht="14.1" customHeight="1" x14ac:dyDescent="0.25">
      <c r="A92" s="1"/>
      <c r="B92" s="253"/>
      <c r="C92" s="31" t="s">
        <v>19</v>
      </c>
      <c r="D92" s="27">
        <f>D93+D94</f>
        <v>26707</v>
      </c>
      <c r="E92" s="27">
        <f>E94+E93</f>
        <v>25971</v>
      </c>
      <c r="F92" s="11">
        <f t="shared" ref="F92:I92" si="6">F94+F93</f>
        <v>374.36874</v>
      </c>
      <c r="G92" s="11">
        <f t="shared" si="6"/>
        <v>25993.236150000001</v>
      </c>
      <c r="H92" s="11">
        <f t="shared" si="6"/>
        <v>-22.236149999999952</v>
      </c>
      <c r="I92" s="11">
        <f t="shared" si="6"/>
        <v>46228.883419999998</v>
      </c>
      <c r="J92" s="243"/>
    </row>
    <row r="93" spans="1:10" ht="15" customHeight="1" x14ac:dyDescent="0.25">
      <c r="A93" s="1"/>
      <c r="B93" s="253"/>
      <c r="C93" s="43" t="s">
        <v>20</v>
      </c>
      <c r="D93" s="44">
        <v>25957</v>
      </c>
      <c r="E93" s="44">
        <v>25146</v>
      </c>
      <c r="F93" s="23">
        <f>373.94874</f>
        <v>373.94873999999999</v>
      </c>
      <c r="G93" s="23">
        <v>25179</v>
      </c>
      <c r="H93" s="23">
        <f>E93-G93</f>
        <v>-33</v>
      </c>
      <c r="I93" s="23">
        <f>45540.94113</f>
        <v>45540.941129999999</v>
      </c>
      <c r="J93" s="243"/>
    </row>
    <row r="94" spans="1:10" ht="14.1" customHeight="1" x14ac:dyDescent="0.25">
      <c r="A94" s="1"/>
      <c r="B94" s="253"/>
      <c r="C94" s="63" t="s">
        <v>21</v>
      </c>
      <c r="D94" s="48">
        <v>750</v>
      </c>
      <c r="E94" s="48">
        <v>825</v>
      </c>
      <c r="F94" s="49">
        <f>0.42</f>
        <v>0.42</v>
      </c>
      <c r="G94" s="49">
        <f>814.23615</f>
        <v>814.23614999999995</v>
      </c>
      <c r="H94" s="49">
        <f>E94-G94</f>
        <v>10.763850000000048</v>
      </c>
      <c r="I94" s="49">
        <f>687.94229</f>
        <v>687.94228999999996</v>
      </c>
      <c r="J94" s="243"/>
    </row>
    <row r="95" spans="1:10" ht="15.75" customHeight="1" x14ac:dyDescent="0.25">
      <c r="A95" s="1"/>
      <c r="B95" s="51"/>
      <c r="C95" s="16" t="s">
        <v>22</v>
      </c>
      <c r="D95" s="27">
        <f>D96+D101+D102</f>
        <v>44797</v>
      </c>
      <c r="E95" s="27">
        <f>E96+E101+E102</f>
        <v>48997</v>
      </c>
      <c r="F95" s="11">
        <f t="shared" ref="F95:I95" si="7">F96+F101+F102</f>
        <v>25.486809999999998</v>
      </c>
      <c r="G95" s="11">
        <f t="shared" si="7"/>
        <v>44823.992559999999</v>
      </c>
      <c r="H95" s="11">
        <f t="shared" si="7"/>
        <v>4173.0074399999994</v>
      </c>
      <c r="I95" s="11">
        <f t="shared" si="7"/>
        <v>44824.149720000001</v>
      </c>
      <c r="J95" s="243"/>
    </row>
    <row r="96" spans="1:10" ht="14.1" customHeight="1" x14ac:dyDescent="0.25">
      <c r="A96" s="1"/>
      <c r="B96" s="52"/>
      <c r="C96" s="55" t="s">
        <v>23</v>
      </c>
      <c r="D96" s="57">
        <f>D97+D98+D99+D100</f>
        <v>33468</v>
      </c>
      <c r="E96" s="57">
        <f>E100+E99+E98+E97</f>
        <v>37494</v>
      </c>
      <c r="F96" s="131">
        <f t="shared" ref="F96:I96" si="8">F97+F98+F99+F100</f>
        <v>16.95758</v>
      </c>
      <c r="G96" s="131">
        <f t="shared" si="8"/>
        <v>34978.992559999999</v>
      </c>
      <c r="H96" s="131">
        <f t="shared" si="8"/>
        <v>2515.0074399999994</v>
      </c>
      <c r="I96" s="131">
        <f t="shared" si="8"/>
        <v>27487.385900000001</v>
      </c>
      <c r="J96" s="243"/>
    </row>
    <row r="97" spans="1:10" ht="14.1" customHeight="1" x14ac:dyDescent="0.25">
      <c r="A97" s="196"/>
      <c r="B97" s="181"/>
      <c r="C97" s="61" t="s">
        <v>24</v>
      </c>
      <c r="D97" s="62">
        <v>8940</v>
      </c>
      <c r="E97" s="62">
        <v>10015</v>
      </c>
      <c r="F97" s="126">
        <f>3.97286</f>
        <v>3.9728599999999998</v>
      </c>
      <c r="G97" s="126">
        <f>6335.01862</f>
        <v>6335.0186199999998</v>
      </c>
      <c r="H97" s="126">
        <f t="shared" ref="H97:H104" si="9">E97-G97</f>
        <v>3679.9813800000002</v>
      </c>
      <c r="I97" s="126">
        <f>5473.68279</f>
        <v>5473.6827899999998</v>
      </c>
      <c r="J97" s="243"/>
    </row>
    <row r="98" spans="1:10" ht="14.1" customHeight="1" x14ac:dyDescent="0.25">
      <c r="A98" s="196"/>
      <c r="B98" s="181"/>
      <c r="C98" s="61" t="s">
        <v>51</v>
      </c>
      <c r="D98" s="62">
        <v>9469</v>
      </c>
      <c r="E98" s="62">
        <v>10614</v>
      </c>
      <c r="F98" s="126">
        <f>10.1883</f>
        <v>10.1883</v>
      </c>
      <c r="G98" s="126">
        <f>11078.73675</f>
        <v>11078.73675</v>
      </c>
      <c r="H98" s="126">
        <f t="shared" si="9"/>
        <v>-464.73675000000003</v>
      </c>
      <c r="I98" s="126">
        <f>9067.31111</f>
        <v>9067.3111100000006</v>
      </c>
      <c r="J98" s="243"/>
    </row>
    <row r="99" spans="1:10" ht="14.1" customHeight="1" x14ac:dyDescent="0.25">
      <c r="A99" s="196"/>
      <c r="B99" s="181"/>
      <c r="C99" s="61" t="s">
        <v>52</v>
      </c>
      <c r="D99" s="62">
        <v>9029</v>
      </c>
      <c r="E99" s="62">
        <v>10112</v>
      </c>
      <c r="F99" s="126">
        <f>2.79642</f>
        <v>2.7964199999999999</v>
      </c>
      <c r="G99" s="126">
        <f>10442.279</f>
        <v>10442.279</v>
      </c>
      <c r="H99" s="126">
        <f t="shared" si="9"/>
        <v>-330.27900000000045</v>
      </c>
      <c r="I99" s="126">
        <f>7543.63335</f>
        <v>7543.6333500000001</v>
      </c>
      <c r="J99" s="243"/>
    </row>
    <row r="100" spans="1:10" ht="14.1" customHeight="1" x14ac:dyDescent="0.25">
      <c r="A100" s="196"/>
      <c r="B100" s="181"/>
      <c r="C100" s="61" t="s">
        <v>27</v>
      </c>
      <c r="D100" s="62">
        <v>6030</v>
      </c>
      <c r="E100" s="62">
        <v>6753</v>
      </c>
      <c r="F100" s="126">
        <f>0</f>
        <v>0</v>
      </c>
      <c r="G100" s="126">
        <f>7122.95819</f>
        <v>7122.9581900000003</v>
      </c>
      <c r="H100" s="126">
        <f t="shared" si="9"/>
        <v>-369.95819000000029</v>
      </c>
      <c r="I100" s="126">
        <f>5402.75865</f>
        <v>5402.7586499999998</v>
      </c>
      <c r="J100" s="243"/>
    </row>
    <row r="101" spans="1:10" ht="14.1" customHeight="1" x14ac:dyDescent="0.25">
      <c r="A101" s="196"/>
      <c r="B101" s="181"/>
      <c r="C101" s="55" t="s">
        <v>53</v>
      </c>
      <c r="D101" s="57">
        <v>7843</v>
      </c>
      <c r="E101" s="57">
        <v>7599</v>
      </c>
      <c r="F101" s="131">
        <f>0.3192</f>
        <v>0.31919999999999998</v>
      </c>
      <c r="G101" s="131">
        <v>6948</v>
      </c>
      <c r="H101" s="131">
        <f t="shared" si="9"/>
        <v>651</v>
      </c>
      <c r="I101" s="131">
        <f>14553.20997</f>
        <v>14553.20997</v>
      </c>
      <c r="J101" s="243"/>
    </row>
    <row r="102" spans="1:10" ht="15.75" customHeight="1" x14ac:dyDescent="0.25">
      <c r="A102" s="1"/>
      <c r="B102" s="52"/>
      <c r="C102" s="37" t="s">
        <v>11</v>
      </c>
      <c r="D102" s="60">
        <v>3486</v>
      </c>
      <c r="E102" s="60">
        <v>3904</v>
      </c>
      <c r="F102" s="74">
        <f>8.21003</f>
        <v>8.2100299999999997</v>
      </c>
      <c r="G102" s="74">
        <v>2897</v>
      </c>
      <c r="H102" s="74">
        <f t="shared" si="9"/>
        <v>1007</v>
      </c>
      <c r="I102" s="74">
        <f>2783.55385</f>
        <v>2783.5538499999998</v>
      </c>
      <c r="J102" s="243"/>
    </row>
    <row r="103" spans="1:10" ht="15.75" customHeight="1" x14ac:dyDescent="0.25">
      <c r="A103" s="1"/>
      <c r="B103" s="52"/>
      <c r="C103" s="72" t="s">
        <v>34</v>
      </c>
      <c r="D103" s="88">
        <v>319</v>
      </c>
      <c r="E103" s="88">
        <v>319</v>
      </c>
      <c r="F103" s="97">
        <f>0</f>
        <v>0</v>
      </c>
      <c r="G103" s="97">
        <f>39.06244</f>
        <v>39.062440000000002</v>
      </c>
      <c r="H103" s="97">
        <f t="shared" si="9"/>
        <v>279.93756000000002</v>
      </c>
      <c r="I103" s="97">
        <f>17.73131</f>
        <v>17.731310000000001</v>
      </c>
      <c r="J103" s="243"/>
    </row>
    <row r="104" spans="1:10" ht="18" customHeight="1" x14ac:dyDescent="0.25">
      <c r="A104" s="1"/>
      <c r="B104" s="253"/>
      <c r="C104" s="72" t="s">
        <v>54</v>
      </c>
      <c r="D104" s="142">
        <v>300</v>
      </c>
      <c r="E104" s="142">
        <v>300</v>
      </c>
      <c r="F104" s="138">
        <f>0</f>
        <v>0</v>
      </c>
      <c r="G104" s="138">
        <f>E104</f>
        <v>300</v>
      </c>
      <c r="H104" s="138">
        <f t="shared" si="9"/>
        <v>0</v>
      </c>
      <c r="I104" s="138">
        <f>E104</f>
        <v>300</v>
      </c>
      <c r="J104" s="243"/>
    </row>
    <row r="105" spans="1:10" ht="16.5" customHeight="1" x14ac:dyDescent="0.25">
      <c r="A105" s="1"/>
      <c r="B105" s="253"/>
      <c r="C105" s="92" t="s">
        <v>38</v>
      </c>
      <c r="D105" s="142">
        <v>50</v>
      </c>
      <c r="E105" s="142">
        <v>50</v>
      </c>
      <c r="F105" s="97">
        <f>0.1881</f>
        <v>0.18809999999999999</v>
      </c>
      <c r="G105" s="97">
        <f>58.18026</f>
        <v>58.180259999999997</v>
      </c>
      <c r="H105" s="138">
        <f>E105-G105</f>
        <v>-8.180259999999997</v>
      </c>
      <c r="I105" s="97">
        <f>24.34506</f>
        <v>24.34506</v>
      </c>
      <c r="J105" s="243"/>
    </row>
    <row r="106" spans="1:10" ht="18" customHeight="1" x14ac:dyDescent="0.25">
      <c r="A106" s="1"/>
      <c r="B106" s="253"/>
      <c r="C106" s="92" t="s">
        <v>55</v>
      </c>
      <c r="D106" s="142"/>
      <c r="E106" s="138"/>
      <c r="F106" s="138">
        <f>0.04446</f>
        <v>4.446E-2</v>
      </c>
      <c r="G106" s="138">
        <v>181</v>
      </c>
      <c r="H106" s="138">
        <f t="shared" ref="H106" si="10">E106-G106</f>
        <v>-181</v>
      </c>
      <c r="I106" s="138">
        <f>108.93206</f>
        <v>108.93206000000001</v>
      </c>
      <c r="J106" s="243"/>
    </row>
    <row r="107" spans="1:10" ht="16.5" customHeight="1" x14ac:dyDescent="0.25">
      <c r="A107" s="1"/>
      <c r="B107" s="253"/>
      <c r="C107" s="73" t="s">
        <v>40</v>
      </c>
      <c r="D107" s="75">
        <f>D92+D95+D103+D104+D105+D106</f>
        <v>72173</v>
      </c>
      <c r="E107" s="75">
        <f t="shared" ref="E107" si="11">E92+E95+E103+E104+E105+E106</f>
        <v>75637</v>
      </c>
      <c r="F107" s="75">
        <f t="shared" ref="F107:I107" si="12">F92+F95+F103+F104+F105+F106</f>
        <v>400.08811000000003</v>
      </c>
      <c r="G107" s="75">
        <f t="shared" si="12"/>
        <v>71395.471409999984</v>
      </c>
      <c r="H107" s="75">
        <f t="shared" si="12"/>
        <v>4241.5285899999999</v>
      </c>
      <c r="I107" s="75">
        <f t="shared" si="12"/>
        <v>91504.041570000016</v>
      </c>
      <c r="J107" s="243"/>
    </row>
    <row r="108" spans="1:10" ht="13.5" customHeight="1" x14ac:dyDescent="0.25">
      <c r="A108" s="1"/>
      <c r="B108" s="253"/>
      <c r="C108" s="76" t="s">
        <v>129</v>
      </c>
      <c r="D108" s="99"/>
      <c r="E108" s="99"/>
      <c r="F108" s="101"/>
      <c r="G108" s="101"/>
      <c r="H108" s="103"/>
      <c r="I108" s="227"/>
      <c r="J108" s="243"/>
    </row>
    <row r="109" spans="1:10" ht="13.5" customHeight="1" x14ac:dyDescent="0.25">
      <c r="A109" s="1"/>
      <c r="B109" s="24"/>
      <c r="C109" s="160" t="s">
        <v>143</v>
      </c>
      <c r="D109" s="257"/>
      <c r="E109" s="257"/>
      <c r="F109" s="79"/>
      <c r="G109" s="79"/>
      <c r="H109" s="227"/>
      <c r="I109" s="227"/>
      <c r="J109" s="104"/>
    </row>
    <row r="110" spans="1:10" ht="15" customHeight="1" x14ac:dyDescent="0.25">
      <c r="A110" s="1"/>
      <c r="B110" s="24"/>
      <c r="C110" s="160" t="s">
        <v>130</v>
      </c>
      <c r="D110" s="257"/>
      <c r="E110" s="257"/>
      <c r="F110" s="79"/>
      <c r="G110" s="79"/>
      <c r="H110" s="227"/>
      <c r="I110" s="227"/>
      <c r="J110" s="104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79"/>
      <c r="G111" s="79"/>
      <c r="H111" s="227"/>
      <c r="I111" s="227"/>
      <c r="J111" s="104"/>
    </row>
    <row r="112" spans="1:10" ht="12" customHeight="1" x14ac:dyDescent="0.25">
      <c r="A112" s="1"/>
      <c r="B112" s="91"/>
      <c r="C112" s="106"/>
      <c r="D112" s="109"/>
      <c r="E112" s="109"/>
      <c r="F112" s="109"/>
      <c r="G112" s="109"/>
      <c r="H112" s="109"/>
      <c r="I112" s="200"/>
      <c r="J112" s="110"/>
    </row>
    <row r="113" spans="1:10" ht="12" customHeight="1" x14ac:dyDescent="0.25">
      <c r="A113" s="1"/>
      <c r="B113" s="100"/>
      <c r="C113" s="1" t="s">
        <v>113</v>
      </c>
      <c r="D113" s="227"/>
      <c r="E113" s="227"/>
      <c r="F113" s="227"/>
      <c r="G113" s="227"/>
      <c r="H113" s="227"/>
      <c r="I113" s="100"/>
      <c r="J113" s="100" t="s">
        <v>113</v>
      </c>
    </row>
    <row r="114" spans="1:10" ht="14.25" customHeight="1" x14ac:dyDescent="0.25">
      <c r="A114" s="1"/>
      <c r="B114" s="100"/>
      <c r="C114" s="100" t="s">
        <v>113</v>
      </c>
      <c r="D114" s="100" t="s">
        <v>113</v>
      </c>
      <c r="E114" s="100"/>
      <c r="F114" s="100"/>
      <c r="G114" s="100"/>
      <c r="H114" s="100"/>
      <c r="I114" s="100"/>
      <c r="J114" s="100" t="s">
        <v>113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7"/>
      <c r="C117" s="153"/>
      <c r="D117" s="153"/>
      <c r="E117" s="153"/>
      <c r="F117" s="153"/>
      <c r="G117" s="153"/>
      <c r="H117" s="153"/>
      <c r="I117" s="153"/>
      <c r="J117" s="161"/>
    </row>
    <row r="118" spans="1:10" ht="15" customHeight="1" x14ac:dyDescent="0.25">
      <c r="A118" s="1"/>
      <c r="B118" s="51"/>
      <c r="C118" s="148" t="s">
        <v>1</v>
      </c>
      <c r="D118" s="184"/>
      <c r="E118" s="148" t="s">
        <v>2</v>
      </c>
      <c r="F118" s="184"/>
      <c r="G118" s="148" t="s">
        <v>3</v>
      </c>
      <c r="H118" s="184"/>
      <c r="I118" s="177"/>
      <c r="J118" s="243"/>
    </row>
    <row r="119" spans="1:10" ht="14.1" customHeight="1" x14ac:dyDescent="0.25">
      <c r="A119" s="1"/>
      <c r="B119" s="253"/>
      <c r="C119" s="114" t="s">
        <v>6</v>
      </c>
      <c r="D119" s="113">
        <v>209323</v>
      </c>
      <c r="E119" s="98" t="s">
        <v>4</v>
      </c>
      <c r="F119" s="113">
        <v>75860</v>
      </c>
      <c r="G119" s="114" t="s">
        <v>5</v>
      </c>
      <c r="H119" s="113">
        <v>8570</v>
      </c>
      <c r="I119" s="177"/>
      <c r="J119" s="243"/>
    </row>
    <row r="120" spans="1:10" ht="14.1" customHeight="1" x14ac:dyDescent="0.25">
      <c r="A120" s="1"/>
      <c r="B120" s="253"/>
      <c r="C120" s="114" t="s">
        <v>9</v>
      </c>
      <c r="D120" s="116">
        <v>12100</v>
      </c>
      <c r="E120" s="114" t="s">
        <v>7</v>
      </c>
      <c r="F120" s="116">
        <v>77910</v>
      </c>
      <c r="G120" s="114" t="s">
        <v>8</v>
      </c>
      <c r="H120" s="116">
        <v>58433</v>
      </c>
      <c r="I120" s="177"/>
      <c r="J120" s="243"/>
    </row>
    <row r="121" spans="1:10" ht="14.1" customHeight="1" x14ac:dyDescent="0.25">
      <c r="A121" s="1"/>
      <c r="B121" s="253"/>
      <c r="C121" s="247" t="s">
        <v>58</v>
      </c>
      <c r="D121" s="116">
        <v>1700</v>
      </c>
      <c r="E121" s="114" t="s">
        <v>59</v>
      </c>
      <c r="F121" s="116">
        <v>51257</v>
      </c>
      <c r="G121" s="114" t="s">
        <v>11</v>
      </c>
      <c r="H121" s="116">
        <v>11114</v>
      </c>
      <c r="I121" s="177"/>
      <c r="J121" s="243"/>
    </row>
    <row r="122" spans="1:10" ht="14.1" customHeight="1" x14ac:dyDescent="0.25">
      <c r="A122" s="1"/>
      <c r="B122" s="152"/>
      <c r="C122" s="164"/>
      <c r="D122" s="190"/>
      <c r="E122" s="190" t="s">
        <v>60</v>
      </c>
      <c r="F122" s="116">
        <v>4296</v>
      </c>
      <c r="G122" s="114"/>
      <c r="H122" s="164"/>
      <c r="I122" s="177"/>
      <c r="J122" s="243"/>
    </row>
    <row r="123" spans="1:10" ht="12" customHeight="1" x14ac:dyDescent="0.25">
      <c r="A123" s="1"/>
      <c r="B123" s="253"/>
      <c r="C123" s="176" t="s">
        <v>49</v>
      </c>
      <c r="D123" s="212">
        <v>223123</v>
      </c>
      <c r="E123" s="111" t="s">
        <v>14</v>
      </c>
      <c r="F123" s="188">
        <v>209323</v>
      </c>
      <c r="G123" s="176" t="s">
        <v>7</v>
      </c>
      <c r="H123" s="188">
        <v>77910</v>
      </c>
      <c r="I123" s="177"/>
      <c r="J123" s="243"/>
    </row>
    <row r="124" spans="1:10" ht="12" customHeight="1" x14ac:dyDescent="0.25">
      <c r="A124" s="100"/>
      <c r="B124" s="24"/>
      <c r="C124" s="100" t="s">
        <v>114</v>
      </c>
      <c r="D124" s="100"/>
      <c r="E124" s="100"/>
      <c r="F124" s="100"/>
      <c r="G124" s="100"/>
      <c r="H124" s="100"/>
      <c r="I124" s="100"/>
      <c r="J124" s="156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19"/>
    </row>
    <row r="127" spans="1:10" ht="53.25" customHeight="1" x14ac:dyDescent="0.25">
      <c r="A127" s="155"/>
      <c r="B127" s="51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7">
        <f>D129+D130+D131</f>
        <v>75860</v>
      </c>
      <c r="E128" s="27">
        <f>E129+E130+E131</f>
        <v>72627</v>
      </c>
      <c r="F128" s="11">
        <f t="shared" ref="F128:H128" si="13">F129+F130+F131</f>
        <v>1463.9556699999998</v>
      </c>
      <c r="G128" s="11">
        <v>70746.132970000006</v>
      </c>
      <c r="H128" s="11">
        <f t="shared" si="13"/>
        <v>1880.8670300000022</v>
      </c>
      <c r="I128" s="11">
        <v>75267.380649999992</v>
      </c>
      <c r="J128" s="243"/>
    </row>
    <row r="129" spans="1:10" ht="14.1" customHeight="1" x14ac:dyDescent="0.25">
      <c r="A129" s="1"/>
      <c r="B129" s="253"/>
      <c r="C129" s="43" t="s">
        <v>20</v>
      </c>
      <c r="D129" s="44">
        <v>60688</v>
      </c>
      <c r="E129" s="44">
        <v>57854</v>
      </c>
      <c r="F129" s="23">
        <f>1457.96302</f>
        <v>1457.9630199999999</v>
      </c>
      <c r="G129" s="23">
        <v>63521.083749999998</v>
      </c>
      <c r="H129" s="23">
        <f>E129-G129</f>
        <v>-5667.083749999998</v>
      </c>
      <c r="I129" s="23">
        <v>64639.662810000002</v>
      </c>
      <c r="J129" s="243"/>
    </row>
    <row r="130" spans="1:10" ht="15" customHeight="1" x14ac:dyDescent="0.25">
      <c r="A130" s="1"/>
      <c r="B130" s="253"/>
      <c r="C130" s="43" t="s">
        <v>21</v>
      </c>
      <c r="D130" s="44">
        <v>14672</v>
      </c>
      <c r="E130" s="44">
        <v>14273</v>
      </c>
      <c r="F130" s="23">
        <f>5.99265</f>
        <v>5.9926500000000003</v>
      </c>
      <c r="G130" s="23">
        <v>7148.5350699999999</v>
      </c>
      <c r="H130" s="23">
        <f>E130-G130</f>
        <v>7124.4649300000001</v>
      </c>
      <c r="I130" s="23">
        <v>10472.431790000001</v>
      </c>
      <c r="J130" s="243"/>
    </row>
    <row r="131" spans="1:10" ht="13.5" customHeight="1" x14ac:dyDescent="0.25">
      <c r="A131" s="1"/>
      <c r="B131" s="253"/>
      <c r="C131" s="47" t="s">
        <v>63</v>
      </c>
      <c r="D131" s="32">
        <v>500</v>
      </c>
      <c r="E131" s="32">
        <v>500</v>
      </c>
      <c r="F131" s="23">
        <f>0</f>
        <v>0</v>
      </c>
      <c r="G131" s="23">
        <v>76.514150000000001</v>
      </c>
      <c r="H131" s="54">
        <f>E131-G131</f>
        <v>423.48585000000003</v>
      </c>
      <c r="I131" s="23">
        <v>155.28604999999999</v>
      </c>
      <c r="J131" s="243"/>
    </row>
    <row r="132" spans="1:10" ht="14.25" customHeight="1" x14ac:dyDescent="0.25">
      <c r="A132" s="66"/>
      <c r="B132" s="77"/>
      <c r="C132" s="87" t="s">
        <v>64</v>
      </c>
      <c r="D132" s="90">
        <v>51257</v>
      </c>
      <c r="E132" s="90">
        <v>52483</v>
      </c>
      <c r="F132" s="94">
        <f>0</f>
        <v>0</v>
      </c>
      <c r="G132" s="94">
        <f>23864.6128+7183</f>
        <v>31047.612799999999</v>
      </c>
      <c r="H132" s="94">
        <f>E132-G132</f>
        <v>21435.387200000001</v>
      </c>
      <c r="I132" s="94">
        <v>39013.890180000002</v>
      </c>
      <c r="J132" s="115"/>
    </row>
    <row r="133" spans="1:10" ht="15.75" customHeight="1" x14ac:dyDescent="0.25">
      <c r="A133" s="1"/>
      <c r="B133" s="253"/>
      <c r="C133" s="141" t="s">
        <v>22</v>
      </c>
      <c r="D133" s="142">
        <f>D134+D139+D142</f>
        <v>79534</v>
      </c>
      <c r="E133" s="142">
        <f>E134+E139+E142</f>
        <v>80329</v>
      </c>
      <c r="F133" s="93">
        <f>F134+F139+F142</f>
        <v>246.62849999999997</v>
      </c>
      <c r="G133" s="93">
        <v>75188.776240000007</v>
      </c>
      <c r="H133" s="93">
        <f>H134+H139+H142</f>
        <v>5140.2237600000008</v>
      </c>
      <c r="I133" s="93">
        <v>87483.993060000008</v>
      </c>
      <c r="J133" s="119"/>
    </row>
    <row r="134" spans="1:10" ht="14.1" customHeight="1" x14ac:dyDescent="0.25">
      <c r="A134" s="1"/>
      <c r="B134" s="51"/>
      <c r="C134" s="120" t="s">
        <v>65</v>
      </c>
      <c r="D134" s="121">
        <f>D135+D136+D137+D138</f>
        <v>60057</v>
      </c>
      <c r="E134" s="121">
        <f>E135+E136+E137+E138</f>
        <v>59251</v>
      </c>
      <c r="F134" s="124">
        <f>F135+F136+F137+F138</f>
        <v>66.164739999999995</v>
      </c>
      <c r="G134" s="124">
        <v>56570.805970000001</v>
      </c>
      <c r="H134" s="124">
        <f>H135+H136+H137+H138</f>
        <v>2680.1940300000006</v>
      </c>
      <c r="I134" s="124">
        <v>69504.665970000002</v>
      </c>
      <c r="J134" s="279"/>
    </row>
    <row r="135" spans="1:10" ht="14.1" customHeight="1" x14ac:dyDescent="0.25">
      <c r="A135" s="196"/>
      <c r="B135" s="125"/>
      <c r="C135" s="61" t="s">
        <v>24</v>
      </c>
      <c r="D135" s="62">
        <v>15960</v>
      </c>
      <c r="E135" s="62">
        <v>17770</v>
      </c>
      <c r="F135" s="126">
        <f>21.02781</f>
        <v>21.027809999999999</v>
      </c>
      <c r="G135" s="126">
        <v>12532.324119999999</v>
      </c>
      <c r="H135" s="126">
        <f>E135-G135</f>
        <v>5237.6758800000007</v>
      </c>
      <c r="I135" s="126">
        <v>12775.39927</v>
      </c>
      <c r="J135" s="127"/>
    </row>
    <row r="136" spans="1:10" ht="14.1" customHeight="1" x14ac:dyDescent="0.25">
      <c r="A136" s="196"/>
      <c r="B136" s="181"/>
      <c r="C136" s="61" t="s">
        <v>51</v>
      </c>
      <c r="D136" s="62">
        <v>16404</v>
      </c>
      <c r="E136" s="62">
        <v>14935</v>
      </c>
      <c r="F136" s="126">
        <f>10.15678</f>
        <v>10.156779999999999</v>
      </c>
      <c r="G136" s="126">
        <v>16129.568654999999</v>
      </c>
      <c r="H136" s="126">
        <f>E136-G136</f>
        <v>-1194.5686549999991</v>
      </c>
      <c r="I136" s="126">
        <v>19294.328300000001</v>
      </c>
      <c r="J136" s="128"/>
    </row>
    <row r="137" spans="1:10" ht="14.1" customHeight="1" x14ac:dyDescent="0.25">
      <c r="A137" s="196"/>
      <c r="B137" s="181"/>
      <c r="C137" s="61" t="s">
        <v>52</v>
      </c>
      <c r="D137" s="62">
        <v>14385</v>
      </c>
      <c r="E137" s="62">
        <v>13047</v>
      </c>
      <c r="F137" s="126">
        <f>9.54255</f>
        <v>9.5425500000000003</v>
      </c>
      <c r="G137" s="126">
        <v>14928.849815000001</v>
      </c>
      <c r="H137" s="126">
        <f>E137-G137</f>
        <v>-1881.8498150000014</v>
      </c>
      <c r="I137" s="126">
        <v>20606.261009999998</v>
      </c>
      <c r="J137" s="128"/>
    </row>
    <row r="138" spans="1:10" ht="14.1" customHeight="1" x14ac:dyDescent="0.25">
      <c r="A138" s="196"/>
      <c r="B138" s="181"/>
      <c r="C138" s="61" t="s">
        <v>27</v>
      </c>
      <c r="D138" s="62">
        <v>13308</v>
      </c>
      <c r="E138" s="62">
        <v>13499</v>
      </c>
      <c r="F138" s="126">
        <f>25.4376</f>
        <v>25.4376</v>
      </c>
      <c r="G138" s="126">
        <v>12980.06338</v>
      </c>
      <c r="H138" s="126">
        <f>E138-G138</f>
        <v>518.9366200000004</v>
      </c>
      <c r="I138" s="126">
        <v>16828.677390000001</v>
      </c>
      <c r="J138" s="128"/>
    </row>
    <row r="139" spans="1:10" ht="14.1" customHeight="1" x14ac:dyDescent="0.25">
      <c r="A139" s="65"/>
      <c r="B139" s="52"/>
      <c r="C139" s="55" t="s">
        <v>29</v>
      </c>
      <c r="D139" s="57">
        <f>D140+D141</f>
        <v>8570</v>
      </c>
      <c r="E139" s="57">
        <f>E140+E141</f>
        <v>8925</v>
      </c>
      <c r="F139" s="131">
        <f>SUM(F140:F141)</f>
        <v>179.27189999999999</v>
      </c>
      <c r="G139" s="131">
        <v>11615.66287</v>
      </c>
      <c r="H139" s="131">
        <f>H140+H141</f>
        <v>-2690.6628700000006</v>
      </c>
      <c r="I139" s="131">
        <v>9018.507090000001</v>
      </c>
      <c r="J139" s="132"/>
    </row>
    <row r="140" spans="1:10" ht="14.1" customHeight="1" x14ac:dyDescent="0.25">
      <c r="A140" s="1"/>
      <c r="B140" s="253"/>
      <c r="C140" s="61" t="s">
        <v>66</v>
      </c>
      <c r="D140" s="62">
        <v>8070</v>
      </c>
      <c r="E140" s="62">
        <v>8425</v>
      </c>
      <c r="F140" s="126">
        <f>179.0127</f>
        <v>179.0127</v>
      </c>
      <c r="G140" s="126">
        <v>11110.27533</v>
      </c>
      <c r="H140" s="126">
        <f t="shared" ref="H140:H148" si="14">E140-G140</f>
        <v>-2685.2753300000004</v>
      </c>
      <c r="I140" s="126">
        <v>8719.0387300000002</v>
      </c>
      <c r="J140" s="119"/>
    </row>
    <row r="141" spans="1:10" ht="15" customHeight="1" x14ac:dyDescent="0.25">
      <c r="A141" s="1"/>
      <c r="B141" s="52"/>
      <c r="C141" s="61" t="s">
        <v>67</v>
      </c>
      <c r="D141" s="62">
        <v>500</v>
      </c>
      <c r="E141" s="62">
        <v>500</v>
      </c>
      <c r="F141" s="126">
        <f>0.2592</f>
        <v>0.25919999999999999</v>
      </c>
      <c r="G141" s="126">
        <v>505.38754</v>
      </c>
      <c r="H141" s="126">
        <f t="shared" si="14"/>
        <v>-5.3875400000000013</v>
      </c>
      <c r="I141" s="126">
        <v>299.46836000000002</v>
      </c>
      <c r="J141" s="133"/>
    </row>
    <row r="142" spans="1:10" ht="15.75" customHeight="1" x14ac:dyDescent="0.25">
      <c r="A142" s="1"/>
      <c r="B142" s="253"/>
      <c r="C142" s="37" t="s">
        <v>11</v>
      </c>
      <c r="D142" s="60">
        <v>10907</v>
      </c>
      <c r="E142" s="60">
        <v>12153</v>
      </c>
      <c r="F142" s="74">
        <f>1.19186</f>
        <v>1.1918599999999999</v>
      </c>
      <c r="G142" s="74">
        <v>7002.3073999999997</v>
      </c>
      <c r="H142" s="74">
        <f t="shared" si="14"/>
        <v>5150.6926000000003</v>
      </c>
      <c r="I142" s="74">
        <v>8960.82</v>
      </c>
      <c r="J142" s="119"/>
    </row>
    <row r="143" spans="1:10" ht="15.75" customHeight="1" x14ac:dyDescent="0.25">
      <c r="A143" s="1"/>
      <c r="B143" s="253"/>
      <c r="C143" s="141" t="s">
        <v>34</v>
      </c>
      <c r="D143" s="142">
        <v>146</v>
      </c>
      <c r="E143" s="142">
        <v>146</v>
      </c>
      <c r="F143" s="138">
        <f>0</f>
        <v>0</v>
      </c>
      <c r="G143" s="138">
        <v>17.644829999999999</v>
      </c>
      <c r="H143" s="138">
        <f t="shared" si="14"/>
        <v>128.35516999999999</v>
      </c>
      <c r="I143" s="138">
        <v>34.623130000000003</v>
      </c>
      <c r="J143" s="119"/>
    </row>
    <row r="144" spans="1:10" ht="15.75" customHeight="1" x14ac:dyDescent="0.25">
      <c r="A144" s="1"/>
      <c r="B144" s="253"/>
      <c r="C144" s="139" t="s">
        <v>68</v>
      </c>
      <c r="D144" s="88">
        <v>250</v>
      </c>
      <c r="E144" s="88">
        <v>250</v>
      </c>
      <c r="F144" s="97">
        <f>0</f>
        <v>0</v>
      </c>
      <c r="G144" s="97">
        <v>256.036</v>
      </c>
      <c r="H144" s="97">
        <f t="shared" si="14"/>
        <v>-6.0360000000000014</v>
      </c>
      <c r="I144" s="97">
        <v>262.58100000000002</v>
      </c>
      <c r="J144" s="119"/>
    </row>
    <row r="145" spans="1:10" ht="18" customHeight="1" x14ac:dyDescent="0.25">
      <c r="A145" s="1"/>
      <c r="B145" s="253"/>
      <c r="C145" s="139" t="s">
        <v>69</v>
      </c>
      <c r="D145" s="142">
        <v>2000</v>
      </c>
      <c r="E145" s="142">
        <v>2000</v>
      </c>
      <c r="F145" s="138">
        <f>0</f>
        <v>0</v>
      </c>
      <c r="G145" s="138">
        <v>2000</v>
      </c>
      <c r="H145" s="138">
        <f t="shared" si="14"/>
        <v>0</v>
      </c>
      <c r="I145" s="138">
        <v>2000</v>
      </c>
      <c r="J145" s="243"/>
    </row>
    <row r="146" spans="1:10" ht="15.75" customHeight="1" x14ac:dyDescent="0.25">
      <c r="A146" s="1"/>
      <c r="B146" s="253"/>
      <c r="C146" s="141" t="s">
        <v>37</v>
      </c>
      <c r="D146" s="142"/>
      <c r="E146" s="142"/>
      <c r="F146" s="138">
        <v>0</v>
      </c>
      <c r="G146" s="138">
        <v>0</v>
      </c>
      <c r="H146" s="138">
        <f t="shared" si="14"/>
        <v>0</v>
      </c>
      <c r="I146" s="138"/>
      <c r="J146" s="119"/>
    </row>
    <row r="147" spans="1:10" ht="15.75" customHeight="1" x14ac:dyDescent="0.25">
      <c r="A147" s="1"/>
      <c r="B147" s="253"/>
      <c r="C147" s="141" t="s">
        <v>70</v>
      </c>
      <c r="D147" s="142">
        <v>276</v>
      </c>
      <c r="E147" s="142">
        <v>276</v>
      </c>
      <c r="F147" s="97">
        <f>0</f>
        <v>0</v>
      </c>
      <c r="G147" s="97">
        <v>92.623760000000004</v>
      </c>
      <c r="H147" s="138">
        <f t="shared" si="14"/>
        <v>183.37624</v>
      </c>
      <c r="I147" s="97">
        <v>53.270009999999999</v>
      </c>
      <c r="J147" s="119"/>
    </row>
    <row r="148" spans="1:10" ht="15" customHeight="1" thickBot="1" x14ac:dyDescent="0.3">
      <c r="A148" s="1"/>
      <c r="B148" s="253"/>
      <c r="C148" s="141" t="s">
        <v>39</v>
      </c>
      <c r="D148" s="144"/>
      <c r="E148" s="142"/>
      <c r="F148" s="138">
        <f>1.82055</f>
        <v>1.8205499999999999</v>
      </c>
      <c r="G148" s="138">
        <v>302.23478999999998</v>
      </c>
      <c r="H148" s="138">
        <f t="shared" si="14"/>
        <v>-302.23478999999998</v>
      </c>
      <c r="I148" s="138">
        <v>627.82920999999999</v>
      </c>
      <c r="J148" s="119"/>
    </row>
    <row r="149" spans="1:10" ht="0" hidden="1" customHeight="1" x14ac:dyDescent="0.25">
      <c r="C149" s="147"/>
      <c r="D149" s="149"/>
      <c r="E149" s="150"/>
      <c r="F149" s="149"/>
      <c r="G149" s="149"/>
      <c r="H149" s="149"/>
      <c r="I149" s="154"/>
    </row>
    <row r="150" spans="1:10" ht="14.25" customHeight="1" thickBot="1" x14ac:dyDescent="0.3">
      <c r="A150" s="155"/>
      <c r="B150" s="51"/>
      <c r="C150" s="157" t="s">
        <v>40</v>
      </c>
      <c r="D150" s="75">
        <f t="shared" ref="D150:E150" si="15">D128+D132+D133+D143+D144+D145+D146+D147+D148</f>
        <v>209323</v>
      </c>
      <c r="E150" s="75">
        <f t="shared" si="15"/>
        <v>208111</v>
      </c>
      <c r="F150" s="75">
        <f>F128+F132+F133+F143+F144+F145+F146+F147+F148</f>
        <v>1712.4047199999998</v>
      </c>
      <c r="G150" s="75">
        <f>G128+G132+G133+G143+G144+G145+G146+G147+G148</f>
        <v>179651.06138999999</v>
      </c>
      <c r="H150" s="75">
        <f>H128+H132+H133+H143+H144+H145+H146+H147+H148</f>
        <v>28459.938610000005</v>
      </c>
      <c r="I150" s="75">
        <f>I128+I132+I133+I143+I144+I145+I146+I147+I148</f>
        <v>204743.56724</v>
      </c>
      <c r="J150" s="159"/>
    </row>
    <row r="151" spans="1:10" ht="14.25" customHeight="1" x14ac:dyDescent="0.25">
      <c r="A151" s="155"/>
      <c r="B151" s="51"/>
      <c r="C151" s="160" t="s">
        <v>71</v>
      </c>
      <c r="D151" s="118"/>
      <c r="E151" s="118"/>
      <c r="F151" s="118"/>
      <c r="G151" s="118"/>
      <c r="H151" s="162"/>
      <c r="I151" s="162"/>
      <c r="J151" s="159"/>
    </row>
    <row r="152" spans="1:10" ht="14.25" customHeight="1" x14ac:dyDescent="0.25">
      <c r="A152" s="155"/>
      <c r="B152" s="51"/>
      <c r="C152" s="100" t="s">
        <v>131</v>
      </c>
      <c r="D152" s="118"/>
      <c r="E152" s="118"/>
      <c r="F152" s="118"/>
      <c r="G152" s="118"/>
      <c r="H152" s="162"/>
      <c r="I152" s="155"/>
      <c r="J152" s="279"/>
    </row>
    <row r="153" spans="1:10" ht="14.25" customHeight="1" x14ac:dyDescent="0.25">
      <c r="A153" s="155"/>
      <c r="B153" s="51"/>
      <c r="C153" s="160" t="s">
        <v>146</v>
      </c>
      <c r="D153" s="118"/>
      <c r="E153" s="118"/>
      <c r="F153" s="118"/>
      <c r="G153" s="118"/>
      <c r="H153" s="162"/>
      <c r="I153" s="155"/>
      <c r="J153" s="279"/>
    </row>
    <row r="154" spans="1:10" ht="14.25" customHeight="1" x14ac:dyDescent="0.25">
      <c r="A154" s="155"/>
      <c r="B154" s="51"/>
      <c r="C154" s="76" t="s">
        <v>144</v>
      </c>
      <c r="D154" s="118"/>
      <c r="E154" s="118"/>
      <c r="F154" s="118"/>
      <c r="G154" s="118"/>
      <c r="H154" s="162"/>
      <c r="I154" s="162"/>
      <c r="J154" s="279"/>
    </row>
    <row r="155" spans="1:10" ht="15.75" customHeight="1" x14ac:dyDescent="0.25">
      <c r="A155" s="155"/>
      <c r="B155" s="51"/>
      <c r="C155" s="160" t="s">
        <v>72</v>
      </c>
      <c r="D155" s="118"/>
      <c r="E155" s="118"/>
      <c r="F155" s="118"/>
      <c r="G155" s="118"/>
      <c r="H155" s="162"/>
      <c r="I155" s="162"/>
      <c r="J155" s="279"/>
    </row>
    <row r="156" spans="1:10" ht="15.75" customHeight="1" x14ac:dyDescent="0.25">
      <c r="A156" s="155"/>
      <c r="B156" s="51"/>
      <c r="C156" s="76" t="s">
        <v>132</v>
      </c>
      <c r="D156" s="118"/>
      <c r="E156" s="118"/>
      <c r="F156" s="118"/>
      <c r="G156" s="118"/>
      <c r="H156" s="162"/>
      <c r="I156" s="162"/>
      <c r="J156" s="279"/>
    </row>
    <row r="157" spans="1:10" ht="12" customHeight="1" x14ac:dyDescent="0.25">
      <c r="A157" s="1"/>
      <c r="B157" s="163"/>
      <c r="C157" s="106"/>
      <c r="D157" s="166"/>
      <c r="E157" s="166"/>
      <c r="F157" s="166"/>
      <c r="G157" s="166"/>
      <c r="H157" s="106"/>
      <c r="I157" s="106"/>
      <c r="J157" s="117"/>
    </row>
    <row r="158" spans="1:10" ht="12" customHeight="1" x14ac:dyDescent="0.25">
      <c r="A158" s="1"/>
      <c r="B158" s="1"/>
      <c r="C158" s="196"/>
      <c r="D158" s="169"/>
      <c r="E158" s="169"/>
      <c r="F158" s="169"/>
      <c r="G158" s="169"/>
      <c r="H158" s="1"/>
      <c r="I158" s="1"/>
      <c r="J158" s="1"/>
    </row>
    <row r="159" spans="1:10" x14ac:dyDescent="0.25">
      <c r="A159" s="1"/>
      <c r="B159" s="1"/>
      <c r="C159" s="196"/>
      <c r="D159" s="169"/>
      <c r="E159" s="169"/>
      <c r="F159" s="169"/>
      <c r="G159" s="169"/>
      <c r="H159" s="1"/>
      <c r="I159" s="1"/>
      <c r="J159" s="1"/>
    </row>
    <row r="160" spans="1:10" x14ac:dyDescent="0.25">
      <c r="A160" s="1"/>
      <c r="B160" s="1"/>
      <c r="C160" s="196"/>
      <c r="D160" s="169"/>
      <c r="E160" s="169"/>
      <c r="F160" s="169"/>
      <c r="G160" s="169"/>
      <c r="H160" s="1"/>
      <c r="I160" s="1"/>
      <c r="J160" s="1"/>
    </row>
    <row r="161" spans="1:10" ht="99.75" customHeight="1" x14ac:dyDescent="0.25">
      <c r="A161" s="1"/>
      <c r="B161" s="1"/>
      <c r="C161" s="196"/>
      <c r="D161" s="169"/>
      <c r="E161" s="169"/>
      <c r="F161" s="169"/>
      <c r="G161" s="169"/>
      <c r="H161" s="1"/>
      <c r="I161" s="1"/>
      <c r="J161" s="1"/>
    </row>
    <row r="162" spans="1:10" ht="21" customHeight="1" x14ac:dyDescent="0.25">
      <c r="A162" s="1" t="s">
        <v>113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113</v>
      </c>
      <c r="B164" s="135"/>
      <c r="C164" s="173"/>
      <c r="D164" s="173"/>
      <c r="E164" s="173"/>
      <c r="F164" s="173"/>
      <c r="G164" s="173"/>
      <c r="H164" s="173"/>
      <c r="I164" s="173"/>
      <c r="J164" s="175"/>
    </row>
    <row r="165" spans="1:10" ht="14.1" customHeight="1" x14ac:dyDescent="0.25">
      <c r="A165" s="1" t="s">
        <v>113</v>
      </c>
      <c r="B165" s="253"/>
      <c r="C165" s="148" t="s">
        <v>1</v>
      </c>
      <c r="D165" s="184"/>
      <c r="E165" s="280"/>
      <c r="F165" s="280"/>
      <c r="G165" s="280"/>
      <c r="H165" s="1"/>
      <c r="I165" s="1"/>
      <c r="J165" s="119"/>
    </row>
    <row r="166" spans="1:10" ht="14.1" customHeight="1" x14ac:dyDescent="0.25">
      <c r="A166" s="1"/>
      <c r="B166" s="253"/>
      <c r="C166" s="176" t="s">
        <v>6</v>
      </c>
      <c r="D166" s="188">
        <v>10823</v>
      </c>
      <c r="E166" s="280"/>
      <c r="F166" s="280"/>
      <c r="G166" s="280"/>
      <c r="H166" s="1"/>
      <c r="I166" s="1"/>
      <c r="J166" s="119"/>
    </row>
    <row r="167" spans="1:10" ht="14.1" customHeight="1" x14ac:dyDescent="0.25">
      <c r="A167" s="1"/>
      <c r="B167" s="253"/>
      <c r="C167" s="176" t="s">
        <v>9</v>
      </c>
      <c r="D167" s="188">
        <f>8888 + 750</f>
        <v>9638</v>
      </c>
      <c r="E167" s="280"/>
      <c r="F167" s="280"/>
      <c r="G167" s="234"/>
      <c r="H167" s="1"/>
      <c r="I167" s="1"/>
      <c r="J167" s="119"/>
    </row>
    <row r="168" spans="1:10" ht="14.1" customHeight="1" x14ac:dyDescent="0.25">
      <c r="A168" s="1"/>
      <c r="B168" s="253"/>
      <c r="C168" s="176" t="s">
        <v>74</v>
      </c>
      <c r="D168" s="188">
        <v>790</v>
      </c>
      <c r="E168" s="280"/>
      <c r="F168" s="280"/>
      <c r="G168" s="280"/>
      <c r="H168" s="1"/>
      <c r="I168" s="1"/>
      <c r="J168" s="119"/>
    </row>
    <row r="169" spans="1:10" ht="14.1" customHeight="1" x14ac:dyDescent="0.25">
      <c r="A169" s="1"/>
      <c r="B169" s="253"/>
      <c r="C169" s="176" t="s">
        <v>49</v>
      </c>
      <c r="D169" s="188">
        <f>SUM(D166:D168)</f>
        <v>21251</v>
      </c>
      <c r="E169" s="280"/>
      <c r="F169" s="280"/>
      <c r="G169" s="280"/>
      <c r="H169" s="1"/>
      <c r="I169" s="1"/>
      <c r="J169" s="119"/>
    </row>
    <row r="170" spans="1:10" ht="14.1" customHeight="1" x14ac:dyDescent="0.25">
      <c r="A170" s="1"/>
      <c r="B170" s="253"/>
      <c r="C170" s="1"/>
      <c r="D170" s="46"/>
      <c r="E170" s="280"/>
      <c r="F170" s="280"/>
      <c r="G170" s="280"/>
      <c r="H170" s="1"/>
      <c r="I170" s="1"/>
      <c r="J170" s="119"/>
    </row>
    <row r="171" spans="1:10" ht="3.75" customHeight="1" x14ac:dyDescent="0.25">
      <c r="A171" s="1"/>
      <c r="B171" s="240"/>
      <c r="C171" s="158"/>
      <c r="D171" s="158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7"/>
      <c r="E172" s="169"/>
      <c r="F172" s="169"/>
      <c r="G172" s="169"/>
      <c r="H172" s="1"/>
      <c r="I172" s="1"/>
      <c r="J172" s="119"/>
    </row>
    <row r="173" spans="1:10" ht="15.75" customHeight="1" x14ac:dyDescent="0.25">
      <c r="A173" s="1"/>
      <c r="B173" s="197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5"/>
      <c r="B174" s="51"/>
      <c r="C174" s="15" t="s">
        <v>16</v>
      </c>
      <c r="D174" s="174" t="s">
        <v>2</v>
      </c>
      <c r="E174" s="15" t="s">
        <v>147</v>
      </c>
      <c r="F174" s="15" t="s">
        <v>148</v>
      </c>
      <c r="G174" s="53" t="s">
        <v>149</v>
      </c>
      <c r="H174" s="15" t="s">
        <v>150</v>
      </c>
      <c r="I174" s="155"/>
      <c r="J174" s="279"/>
    </row>
    <row r="175" spans="1:10" ht="14.1" customHeight="1" x14ac:dyDescent="0.25">
      <c r="A175" s="1"/>
      <c r="B175" s="253"/>
      <c r="C175" s="140" t="s">
        <v>75</v>
      </c>
      <c r="D175" s="93">
        <v>4223</v>
      </c>
      <c r="E175" s="275">
        <f>430.02371</f>
        <v>430.02370999999999</v>
      </c>
      <c r="F175" s="275">
        <f>2606.12507</f>
        <v>2606.1250700000001</v>
      </c>
      <c r="G175" s="42">
        <f>D175-F175-F176</f>
        <v>-99.436110000000099</v>
      </c>
      <c r="H175" s="275">
        <f>3123.83178</f>
        <v>3123.83178</v>
      </c>
      <c r="I175" s="1"/>
      <c r="J175" s="119"/>
    </row>
    <row r="176" spans="1:10" ht="14.1" customHeight="1" x14ac:dyDescent="0.25">
      <c r="A176" s="1"/>
      <c r="B176" s="253"/>
      <c r="C176" s="136" t="s">
        <v>53</v>
      </c>
      <c r="D176" s="180"/>
      <c r="E176" s="151">
        <f>0</f>
        <v>0</v>
      </c>
      <c r="F176" s="151">
        <f>1716.31104</f>
        <v>1716.31104</v>
      </c>
      <c r="G176" s="216"/>
      <c r="H176" s="151">
        <f>2091.79283</f>
        <v>2091.7928299999999</v>
      </c>
      <c r="I176" s="1"/>
      <c r="J176" s="119"/>
    </row>
    <row r="177" spans="1:10" ht="15.6" customHeight="1" x14ac:dyDescent="0.25">
      <c r="A177" s="1"/>
      <c r="B177" s="253"/>
      <c r="C177" s="168" t="s">
        <v>76</v>
      </c>
      <c r="D177" s="97">
        <v>200</v>
      </c>
      <c r="E177" s="171">
        <f>0</f>
        <v>0</v>
      </c>
      <c r="F177" s="171">
        <f>137.17279</f>
        <v>137.17278999999999</v>
      </c>
      <c r="G177" s="171">
        <f>D177-F177</f>
        <v>62.827210000000008</v>
      </c>
      <c r="H177" s="171">
        <f>78.95106</f>
        <v>78.951059999999998</v>
      </c>
      <c r="I177" s="1"/>
      <c r="J177" s="119"/>
    </row>
    <row r="178" spans="1:10" ht="14.1" customHeight="1" x14ac:dyDescent="0.25">
      <c r="A178" s="66"/>
      <c r="B178" s="77"/>
      <c r="C178" s="179" t="s">
        <v>77</v>
      </c>
      <c r="D178" s="180">
        <v>6334</v>
      </c>
      <c r="E178" s="180">
        <f>E179+E180+E181</f>
        <v>0.49558000000000002</v>
      </c>
      <c r="F178" s="180">
        <f>F179+F180+F181</f>
        <v>5994.7931199999994</v>
      </c>
      <c r="G178" s="180">
        <f>D178-F178</f>
        <v>339.20688000000064</v>
      </c>
      <c r="H178" s="180">
        <f>H179+H180+H181</f>
        <v>8203.1729699999996</v>
      </c>
      <c r="I178" s="66"/>
      <c r="J178" s="115"/>
    </row>
    <row r="179" spans="1:10" ht="14.1" customHeight="1" x14ac:dyDescent="0.25">
      <c r="A179" s="196"/>
      <c r="B179" s="181"/>
      <c r="C179" s="182" t="s">
        <v>78</v>
      </c>
      <c r="D179" s="126"/>
      <c r="E179" s="126">
        <f>0.0711</f>
        <v>7.1099999999999997E-2</v>
      </c>
      <c r="F179" s="126">
        <f>3093.6484</f>
        <v>3093.6484</v>
      </c>
      <c r="G179" s="126"/>
      <c r="H179" s="126">
        <f>4200.67149</f>
        <v>4200.6714899999997</v>
      </c>
      <c r="I179" s="185"/>
      <c r="J179" s="128"/>
    </row>
    <row r="180" spans="1:10" ht="14.1" customHeight="1" x14ac:dyDescent="0.25">
      <c r="A180" s="196"/>
      <c r="B180" s="181"/>
      <c r="C180" s="182" t="s">
        <v>79</v>
      </c>
      <c r="D180" s="126"/>
      <c r="E180" s="126">
        <f>0</f>
        <v>0</v>
      </c>
      <c r="F180" s="126">
        <f>1834.87423</f>
        <v>1834.8742299999999</v>
      </c>
      <c r="G180" s="126"/>
      <c r="H180" s="126">
        <f>2529.37287</f>
        <v>2529.3728700000001</v>
      </c>
      <c r="I180" s="185"/>
      <c r="J180" s="186"/>
    </row>
    <row r="181" spans="1:10" ht="14.1" customHeight="1" x14ac:dyDescent="0.25">
      <c r="A181" s="196"/>
      <c r="B181" s="181"/>
      <c r="C181" s="187" t="s">
        <v>80</v>
      </c>
      <c r="D181" s="191"/>
      <c r="E181" s="191">
        <f>0.42448</f>
        <v>0.42448000000000002</v>
      </c>
      <c r="F181" s="191">
        <f>1066.27049</f>
        <v>1066.2704900000001</v>
      </c>
      <c r="G181" s="191"/>
      <c r="H181" s="191">
        <f>1473.12861</f>
        <v>1473.12861</v>
      </c>
      <c r="I181" s="185"/>
      <c r="J181" s="186"/>
    </row>
    <row r="182" spans="1:10" ht="14.1" customHeight="1" x14ac:dyDescent="0.25">
      <c r="A182" s="1"/>
      <c r="B182" s="253"/>
      <c r="C182" s="72" t="s">
        <v>81</v>
      </c>
      <c r="D182" s="138">
        <v>66</v>
      </c>
      <c r="E182" s="138">
        <f>0</f>
        <v>0</v>
      </c>
      <c r="F182" s="138">
        <f>0</f>
        <v>0</v>
      </c>
      <c r="G182" s="138">
        <f>D182-F182</f>
        <v>66</v>
      </c>
      <c r="H182" s="138">
        <f>1.9783</f>
        <v>1.9782999999999999</v>
      </c>
      <c r="I182" s="177"/>
      <c r="J182" s="243"/>
    </row>
    <row r="183" spans="1:10" ht="16.5" customHeight="1" x14ac:dyDescent="0.25">
      <c r="A183" s="1"/>
      <c r="B183" s="253"/>
      <c r="C183" s="92" t="s">
        <v>82</v>
      </c>
      <c r="D183" s="192"/>
      <c r="E183" s="93">
        <f>0</f>
        <v>0</v>
      </c>
      <c r="F183" s="93">
        <f>0</f>
        <v>0</v>
      </c>
      <c r="G183" s="93">
        <f>D183-F183</f>
        <v>0</v>
      </c>
      <c r="H183" s="93">
        <f>0</f>
        <v>0</v>
      </c>
      <c r="I183" s="177"/>
      <c r="J183" s="243"/>
    </row>
    <row r="184" spans="1:10" ht="19.350000000000001" customHeight="1" x14ac:dyDescent="0.25">
      <c r="A184" s="155"/>
      <c r="B184" s="51"/>
      <c r="C184" s="73" t="s">
        <v>40</v>
      </c>
      <c r="D184" s="193">
        <f>D175+D177+D178+D182</f>
        <v>10823</v>
      </c>
      <c r="E184" s="193">
        <f>E175+E176+E177+E178+E182+E183</f>
        <v>430.51929000000001</v>
      </c>
      <c r="F184" s="193">
        <f>F175+F176+F177+F178+F182+F183</f>
        <v>10454.40202</v>
      </c>
      <c r="G184" s="193">
        <f>D184-F184</f>
        <v>368.59798000000046</v>
      </c>
      <c r="H184" s="193">
        <f>H175+H176+H177+H178+H182+H183</f>
        <v>13499.72694</v>
      </c>
      <c r="I184" s="162"/>
      <c r="J184" s="159"/>
    </row>
    <row r="185" spans="1:10" ht="42" customHeight="1" x14ac:dyDescent="0.25">
      <c r="A185" s="1"/>
      <c r="B185" s="197"/>
      <c r="C185" s="226" t="s">
        <v>137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5" t="s">
        <v>113</v>
      </c>
      <c r="B186" s="194"/>
      <c r="C186" s="106"/>
      <c r="D186" s="106"/>
      <c r="E186" s="106"/>
      <c r="F186" s="106"/>
      <c r="G186" s="106"/>
      <c r="H186" s="195"/>
      <c r="I186" s="198"/>
      <c r="J186" s="199"/>
    </row>
    <row r="187" spans="1:10" ht="10.5" customHeight="1" x14ac:dyDescent="0.25">
      <c r="A187" s="149"/>
      <c r="B187" s="1"/>
      <c r="C187" s="196"/>
      <c r="D187" s="169"/>
      <c r="E187" s="169"/>
      <c r="F187" s="169"/>
      <c r="G187" s="169"/>
      <c r="H187" s="1"/>
      <c r="I187" s="1"/>
      <c r="J187" s="1"/>
    </row>
    <row r="188" spans="1:10" ht="10.5" customHeight="1" x14ac:dyDescent="0.25">
      <c r="A188" s="149" t="s">
        <v>113</v>
      </c>
      <c r="B188" s="1"/>
      <c r="C188" s="196"/>
      <c r="D188" s="169"/>
      <c r="E188" s="169"/>
      <c r="F188" s="169"/>
      <c r="G188" s="169"/>
      <c r="H188" s="1"/>
      <c r="I188" s="1"/>
      <c r="J188" s="1"/>
    </row>
    <row r="189" spans="1:10" ht="21.75" customHeight="1" x14ac:dyDescent="0.35">
      <c r="A189" s="149"/>
      <c r="B189" s="1"/>
      <c r="C189" s="214" t="s">
        <v>83</v>
      </c>
      <c r="D189" s="169"/>
      <c r="E189" s="169"/>
      <c r="F189" s="169"/>
      <c r="G189" s="169"/>
      <c r="H189" s="1"/>
      <c r="I189" s="1"/>
      <c r="J189" s="1"/>
    </row>
    <row r="190" spans="1:10" ht="21.75" customHeight="1" x14ac:dyDescent="0.35">
      <c r="A190" s="149" t="s">
        <v>113</v>
      </c>
      <c r="B190" s="1"/>
      <c r="C190" s="214"/>
      <c r="D190" s="169"/>
      <c r="E190" s="169"/>
      <c r="F190" s="169"/>
      <c r="G190" s="169"/>
      <c r="H190" s="1"/>
      <c r="I190" s="1"/>
      <c r="J190" s="1"/>
    </row>
    <row r="191" spans="1:10" ht="12" customHeight="1" x14ac:dyDescent="0.25">
      <c r="A191" s="149"/>
      <c r="B191" s="137"/>
      <c r="C191" s="225"/>
      <c r="D191" s="236"/>
      <c r="E191" s="236"/>
      <c r="F191" s="236"/>
      <c r="G191" s="236"/>
      <c r="H191" s="153"/>
      <c r="I191" s="153"/>
      <c r="J191" s="161"/>
    </row>
    <row r="192" spans="1:10" ht="15" customHeight="1" x14ac:dyDescent="0.25">
      <c r="A192" s="149"/>
      <c r="B192" s="253"/>
      <c r="C192" s="148" t="s">
        <v>1</v>
      </c>
      <c r="D192" s="184"/>
      <c r="E192" s="149"/>
      <c r="F192" s="149"/>
      <c r="G192" s="169"/>
      <c r="H192" s="1"/>
      <c r="I192" s="1"/>
      <c r="J192" s="119"/>
    </row>
    <row r="193" spans="1:10" ht="15" customHeight="1" x14ac:dyDescent="0.25">
      <c r="A193" s="149"/>
      <c r="B193" s="253"/>
      <c r="C193" s="258" t="s">
        <v>84</v>
      </c>
      <c r="D193" s="269">
        <v>46418</v>
      </c>
      <c r="E193" s="149"/>
      <c r="F193" s="149"/>
      <c r="G193" s="169"/>
      <c r="H193" s="1"/>
      <c r="I193" s="1"/>
      <c r="J193" s="119"/>
    </row>
    <row r="194" spans="1:10" ht="15" customHeight="1" x14ac:dyDescent="0.25">
      <c r="A194" s="149"/>
      <c r="B194" s="253"/>
      <c r="C194" s="247" t="s">
        <v>85</v>
      </c>
      <c r="D194" s="45">
        <v>15730</v>
      </c>
      <c r="E194" s="149"/>
      <c r="F194" s="149"/>
      <c r="G194" s="169"/>
      <c r="H194" s="1"/>
      <c r="I194" s="1"/>
      <c r="J194" s="119"/>
    </row>
    <row r="195" spans="1:10" ht="18" customHeight="1" x14ac:dyDescent="0.25">
      <c r="A195" s="149"/>
      <c r="B195" s="253"/>
      <c r="C195" s="247" t="s">
        <v>86</v>
      </c>
      <c r="D195" s="45">
        <v>8016</v>
      </c>
      <c r="E195" s="149"/>
      <c r="F195" s="149"/>
      <c r="G195" s="169"/>
      <c r="H195" s="1"/>
      <c r="I195" s="1"/>
      <c r="J195" s="119"/>
    </row>
    <row r="196" spans="1:10" ht="11.25" customHeight="1" x14ac:dyDescent="0.25">
      <c r="A196" s="149"/>
      <c r="B196" s="253"/>
      <c r="C196" s="56" t="s">
        <v>49</v>
      </c>
      <c r="D196" s="34">
        <v>70164</v>
      </c>
      <c r="E196" s="149"/>
      <c r="F196" s="149"/>
      <c r="G196" s="169"/>
      <c r="H196" s="1"/>
      <c r="I196" s="1"/>
      <c r="J196" s="119"/>
    </row>
    <row r="197" spans="1:10" ht="12" customHeight="1" x14ac:dyDescent="0.25">
      <c r="A197" s="1"/>
      <c r="B197" s="253"/>
      <c r="C197" s="100" t="s">
        <v>119</v>
      </c>
      <c r="D197" s="169"/>
      <c r="E197" s="169"/>
      <c r="F197" s="169"/>
      <c r="G197" s="169"/>
      <c r="H197" s="1"/>
      <c r="I197" s="1"/>
      <c r="J197" s="119"/>
    </row>
    <row r="198" spans="1:10" ht="10.5" customHeight="1" x14ac:dyDescent="0.25">
      <c r="A198" s="1"/>
      <c r="B198" s="253"/>
      <c r="C198" s="100" t="s">
        <v>120</v>
      </c>
      <c r="D198" s="169"/>
      <c r="E198" s="169"/>
      <c r="F198" s="169"/>
      <c r="G198" s="169"/>
      <c r="H198" s="1"/>
      <c r="I198" s="1"/>
      <c r="J198" s="119"/>
    </row>
    <row r="199" spans="1:10" ht="12" customHeight="1" x14ac:dyDescent="0.25">
      <c r="A199" s="1"/>
      <c r="B199" s="253"/>
      <c r="C199" s="100" t="s">
        <v>123</v>
      </c>
      <c r="D199" s="169"/>
      <c r="E199" s="169"/>
      <c r="F199" s="169"/>
      <c r="G199" s="169"/>
      <c r="H199" s="1"/>
      <c r="I199" s="1"/>
      <c r="J199" s="119"/>
    </row>
    <row r="200" spans="1:10" ht="12" customHeight="1" x14ac:dyDescent="0.25">
      <c r="A200" s="1"/>
      <c r="B200" s="240"/>
      <c r="C200" s="266"/>
      <c r="D200" s="158"/>
      <c r="E200" s="158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69"/>
      <c r="E201" s="169"/>
      <c r="F201" s="169"/>
      <c r="G201" s="1"/>
      <c r="H201" s="1"/>
      <c r="I201" s="1"/>
      <c r="J201" s="119"/>
    </row>
    <row r="202" spans="1:10" ht="15" customHeight="1" x14ac:dyDescent="0.25">
      <c r="A202" s="1"/>
      <c r="B202" s="253"/>
      <c r="C202" s="100"/>
      <c r="D202" s="169"/>
      <c r="E202" s="169"/>
      <c r="F202" s="169"/>
      <c r="G202" s="169"/>
      <c r="H202" s="1"/>
      <c r="I202" s="1"/>
      <c r="J202" s="119"/>
    </row>
    <row r="203" spans="1:10" ht="48.75" customHeight="1" x14ac:dyDescent="0.25">
      <c r="A203" s="1"/>
      <c r="B203" s="253"/>
      <c r="C203" s="67" t="s">
        <v>16</v>
      </c>
      <c r="D203" s="78" t="s">
        <v>2</v>
      </c>
      <c r="E203" s="67" t="s">
        <v>147</v>
      </c>
      <c r="F203" s="67" t="s">
        <v>148</v>
      </c>
      <c r="G203" s="67" t="s">
        <v>149</v>
      </c>
      <c r="H203" s="67" t="s">
        <v>150</v>
      </c>
      <c r="I203" s="1"/>
      <c r="J203" s="119"/>
    </row>
    <row r="204" spans="1:10" ht="15" customHeight="1" x14ac:dyDescent="0.25">
      <c r="A204" s="1"/>
      <c r="B204" s="253"/>
      <c r="C204" s="89" t="s">
        <v>4</v>
      </c>
      <c r="D204" s="123">
        <v>46282</v>
      </c>
      <c r="E204" s="123">
        <f>2335.71978</f>
        <v>2335.7197799999999</v>
      </c>
      <c r="F204" s="123">
        <f>47180.57249</f>
        <v>47180.572489999999</v>
      </c>
      <c r="G204" s="123">
        <f>D204-F204</f>
        <v>-898.57248999999865</v>
      </c>
      <c r="H204" s="123">
        <f>44469.37588</f>
        <v>44469.37588</v>
      </c>
      <c r="I204" s="247"/>
      <c r="J204" s="119"/>
    </row>
    <row r="205" spans="1:10" ht="15" customHeight="1" x14ac:dyDescent="0.25">
      <c r="A205" s="1"/>
      <c r="B205" s="253"/>
      <c r="C205" s="89" t="s">
        <v>67</v>
      </c>
      <c r="D205" s="123">
        <v>100</v>
      </c>
      <c r="E205" s="123">
        <f>0.001</f>
        <v>1E-3</v>
      </c>
      <c r="F205" s="123">
        <f>44.77444</f>
        <v>44.774439999999998</v>
      </c>
      <c r="G205" s="123">
        <f>D205-F205</f>
        <v>55.225560000000002</v>
      </c>
      <c r="H205" s="123">
        <f>71.76078</f>
        <v>71.760779999999997</v>
      </c>
      <c r="I205" s="247"/>
      <c r="J205" s="119"/>
    </row>
    <row r="206" spans="1:10" ht="15.75" customHeight="1" x14ac:dyDescent="0.25">
      <c r="A206" s="1"/>
      <c r="B206" s="253"/>
      <c r="C206" s="145" t="s">
        <v>81</v>
      </c>
      <c r="D206" s="167">
        <v>36</v>
      </c>
      <c r="E206" s="138">
        <f>0</f>
        <v>0</v>
      </c>
      <c r="F206" s="138">
        <f>0</f>
        <v>0</v>
      </c>
      <c r="G206" s="138">
        <f>D206-F206</f>
        <v>36</v>
      </c>
      <c r="H206" s="138">
        <f>0</f>
        <v>0</v>
      </c>
      <c r="I206" s="247"/>
      <c r="J206" s="119"/>
    </row>
    <row r="207" spans="1:10" ht="16.5" customHeight="1" x14ac:dyDescent="0.25">
      <c r="A207" s="1"/>
      <c r="B207" s="253"/>
      <c r="C207" s="178" t="s">
        <v>87</v>
      </c>
      <c r="D207" s="189">
        <f>SUM(D204:D206)</f>
        <v>46418</v>
      </c>
      <c r="E207" s="189">
        <f>SUM(E204:E206)</f>
        <v>2335.7207800000001</v>
      </c>
      <c r="F207" s="189">
        <f>SUM(F204:F206)</f>
        <v>47225.34693</v>
      </c>
      <c r="G207" s="189">
        <f>D207-F207</f>
        <v>-807.3469299999997</v>
      </c>
      <c r="H207" s="189">
        <f>SUM(H204:H206)</f>
        <v>44541.136659999996</v>
      </c>
      <c r="I207" s="247"/>
      <c r="J207" s="119"/>
    </row>
    <row r="208" spans="1:10" ht="17.100000000000001" customHeight="1" thickBot="1" x14ac:dyDescent="0.3">
      <c r="A208" s="1"/>
      <c r="B208" s="163"/>
      <c r="C208" s="200" t="s">
        <v>88</v>
      </c>
      <c r="D208" s="106"/>
      <c r="E208" s="106"/>
      <c r="F208" s="209"/>
      <c r="G208" s="209"/>
      <c r="H208" s="209"/>
      <c r="I208" s="209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thickTop="1" x14ac:dyDescent="0.2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49"/>
      <c r="B243" s="1"/>
      <c r="C243" s="214" t="s">
        <v>115</v>
      </c>
      <c r="D243" s="169"/>
      <c r="E243" s="169"/>
      <c r="F243" s="169"/>
      <c r="G243" s="169"/>
      <c r="H243" s="1"/>
      <c r="I243" s="1"/>
      <c r="J243" s="1"/>
    </row>
    <row r="244" spans="1:10" ht="21.75" customHeight="1" x14ac:dyDescent="0.35">
      <c r="A244" s="149" t="s">
        <v>113</v>
      </c>
      <c r="B244" s="1"/>
      <c r="C244" s="214"/>
      <c r="D244" s="169"/>
      <c r="E244" s="169"/>
      <c r="F244" s="169"/>
      <c r="G244" s="169"/>
      <c r="H244" s="1"/>
      <c r="I244" s="1"/>
      <c r="J244" s="1"/>
    </row>
    <row r="245" spans="1:10" ht="12" customHeight="1" x14ac:dyDescent="0.25">
      <c r="A245" s="149"/>
      <c r="B245" s="137"/>
      <c r="C245" s="225"/>
      <c r="D245" s="236"/>
      <c r="E245" s="236"/>
      <c r="F245" s="236"/>
      <c r="G245" s="236"/>
      <c r="H245" s="153"/>
      <c r="I245" s="153"/>
      <c r="J245" s="161"/>
    </row>
    <row r="246" spans="1:10" ht="23.25" customHeight="1" x14ac:dyDescent="0.25">
      <c r="A246" s="1"/>
      <c r="B246" s="253"/>
      <c r="C246" s="18" t="s">
        <v>15</v>
      </c>
      <c r="D246" s="169"/>
      <c r="E246" s="169"/>
      <c r="F246" s="169"/>
      <c r="G246" s="1"/>
      <c r="H246" s="1"/>
      <c r="I246" s="1"/>
      <c r="J246" s="119"/>
    </row>
    <row r="247" spans="1:10" ht="15" customHeight="1" x14ac:dyDescent="0.25">
      <c r="A247" s="1"/>
      <c r="B247" s="253"/>
      <c r="C247" s="100"/>
      <c r="D247" s="169"/>
      <c r="E247" s="169"/>
      <c r="F247" s="169"/>
      <c r="G247" s="169"/>
      <c r="H247" s="1"/>
      <c r="I247" s="1"/>
      <c r="J247" s="119"/>
    </row>
    <row r="248" spans="1:10" ht="48.75" customHeight="1" x14ac:dyDescent="0.25">
      <c r="A248" s="1"/>
      <c r="B248" s="253"/>
      <c r="C248" s="67" t="s">
        <v>16</v>
      </c>
      <c r="D248" s="78" t="s">
        <v>2</v>
      </c>
      <c r="E248" s="67" t="s">
        <v>147</v>
      </c>
      <c r="F248" s="67" t="s">
        <v>148</v>
      </c>
      <c r="G248" s="67" t="s">
        <v>149</v>
      </c>
      <c r="H248" s="67" t="s">
        <v>150</v>
      </c>
      <c r="I248" s="1"/>
      <c r="J248" s="119"/>
    </row>
    <row r="249" spans="1:10" ht="15" customHeight="1" x14ac:dyDescent="0.25">
      <c r="A249" s="1"/>
      <c r="B249" s="253"/>
      <c r="C249" s="89" t="s">
        <v>121</v>
      </c>
      <c r="D249" s="123">
        <v>3987</v>
      </c>
      <c r="E249" s="74">
        <f>E250+E251</f>
        <v>13.5016</v>
      </c>
      <c r="F249" s="74">
        <f>F250+F251</f>
        <v>4500.6261699999995</v>
      </c>
      <c r="G249" s="74">
        <f>D249-F249</f>
        <v>-513.62616999999955</v>
      </c>
      <c r="H249" s="74">
        <f>H250+H251</f>
        <v>4424.8739299999997</v>
      </c>
      <c r="I249" s="247"/>
      <c r="J249" s="119"/>
    </row>
    <row r="250" spans="1:10" ht="15" customHeight="1" x14ac:dyDescent="0.25">
      <c r="A250" s="1"/>
      <c r="B250" s="253"/>
      <c r="C250" s="176" t="s">
        <v>8</v>
      </c>
      <c r="D250" s="123"/>
      <c r="E250" s="74">
        <f>3.4636</f>
        <v>3.4636</v>
      </c>
      <c r="F250" s="74">
        <f>3744.24318</f>
        <v>3744.2431799999999</v>
      </c>
      <c r="G250" s="74"/>
      <c r="H250" s="74">
        <f>3675.06259</f>
        <v>3675.06259</v>
      </c>
      <c r="I250" s="247"/>
      <c r="J250" s="119"/>
    </row>
    <row r="251" spans="1:10" ht="15" customHeight="1" x14ac:dyDescent="0.25">
      <c r="A251" s="1"/>
      <c r="B251" s="253"/>
      <c r="C251" s="176" t="s">
        <v>67</v>
      </c>
      <c r="D251" s="123"/>
      <c r="E251" s="123">
        <f>10.038</f>
        <v>10.038</v>
      </c>
      <c r="F251" s="123">
        <f>756.38299</f>
        <v>756.38298999999995</v>
      </c>
      <c r="G251" s="167"/>
      <c r="H251" s="123">
        <f>749.81134</f>
        <v>749.81133999999997</v>
      </c>
      <c r="I251" s="247"/>
      <c r="J251" s="119"/>
    </row>
    <row r="252" spans="1:10" ht="15" customHeight="1" x14ac:dyDescent="0.25">
      <c r="A252" s="1"/>
      <c r="B252" s="253"/>
      <c r="C252" s="89" t="s">
        <v>122</v>
      </c>
      <c r="D252" s="123">
        <v>4613</v>
      </c>
      <c r="E252" s="74">
        <f>0.9047</f>
        <v>0.90469999999999995</v>
      </c>
      <c r="F252" s="74">
        <f>5641.54249</f>
        <v>5641.5424899999998</v>
      </c>
      <c r="G252" s="74">
        <f>D252-F252</f>
        <v>-1028.5424899999998</v>
      </c>
      <c r="H252" s="74">
        <f>5808.44647</f>
        <v>5808.4464699999999</v>
      </c>
      <c r="I252" s="247"/>
      <c r="J252" s="119"/>
    </row>
    <row r="253" spans="1:10" ht="16.5" customHeight="1" x14ac:dyDescent="0.25">
      <c r="A253" s="1"/>
      <c r="B253" s="253"/>
      <c r="C253" s="178" t="s">
        <v>87</v>
      </c>
      <c r="D253" s="189">
        <f>D252+D249</f>
        <v>8600</v>
      </c>
      <c r="E253" s="189">
        <f>SUM(E249,E252)</f>
        <v>14.4063</v>
      </c>
      <c r="F253" s="189">
        <f>SUM(F249,F252)</f>
        <v>10142.168659999999</v>
      </c>
      <c r="G253" s="189">
        <f>D253-F253</f>
        <v>-1542.1686599999994</v>
      </c>
      <c r="H253" s="189">
        <f>SUM(H249,H252)</f>
        <v>10233.320400000001</v>
      </c>
      <c r="I253" s="247"/>
      <c r="J253" s="119"/>
    </row>
    <row r="254" spans="1:10" ht="17.100000000000001" customHeight="1" thickBot="1" x14ac:dyDescent="0.3">
      <c r="A254" s="1"/>
      <c r="B254" s="163"/>
      <c r="C254" s="200"/>
      <c r="D254" s="106"/>
      <c r="E254" s="106"/>
      <c r="F254" s="209"/>
      <c r="G254" s="209"/>
      <c r="H254" s="209"/>
      <c r="I254" s="209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thickTop="1" x14ac:dyDescent="0.2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49"/>
      <c r="B289" s="1"/>
      <c r="C289" s="214" t="s">
        <v>116</v>
      </c>
      <c r="D289" s="169"/>
      <c r="E289" s="169"/>
      <c r="F289" s="169"/>
      <c r="G289" s="169"/>
      <c r="H289" s="1"/>
      <c r="I289" s="1"/>
      <c r="J289" s="1"/>
    </row>
    <row r="290" spans="1:10" ht="21.75" customHeight="1" x14ac:dyDescent="0.35">
      <c r="A290" s="149" t="s">
        <v>113</v>
      </c>
      <c r="B290" s="1"/>
      <c r="C290" s="214"/>
      <c r="D290" s="169"/>
      <c r="E290" s="169"/>
      <c r="F290" s="169"/>
      <c r="G290" s="169"/>
      <c r="H290" s="1"/>
      <c r="I290" s="1"/>
      <c r="J290" s="1"/>
    </row>
    <row r="291" spans="1:10" ht="12" customHeight="1" x14ac:dyDescent="0.25">
      <c r="A291" s="149"/>
      <c r="B291" s="137"/>
      <c r="C291" s="225"/>
      <c r="D291" s="236"/>
      <c r="E291" s="236"/>
      <c r="F291" s="236"/>
      <c r="G291" s="236"/>
      <c r="H291" s="153"/>
      <c r="I291" s="153"/>
      <c r="J291" s="161"/>
    </row>
    <row r="292" spans="1:10" ht="23.25" customHeight="1" x14ac:dyDescent="0.25">
      <c r="A292" s="1"/>
      <c r="B292" s="253"/>
      <c r="C292" s="18" t="s">
        <v>15</v>
      </c>
      <c r="D292" s="169"/>
      <c r="E292" s="169"/>
      <c r="F292" s="169"/>
      <c r="G292" s="1"/>
      <c r="H292" s="1"/>
      <c r="I292" s="1"/>
      <c r="J292" s="119"/>
    </row>
    <row r="293" spans="1:10" ht="15" customHeight="1" x14ac:dyDescent="0.25">
      <c r="A293" s="1"/>
      <c r="B293" s="253"/>
      <c r="C293" s="100"/>
      <c r="D293" s="169"/>
      <c r="E293" s="169"/>
      <c r="F293" s="169"/>
      <c r="G293" s="169"/>
      <c r="H293" s="1"/>
      <c r="I293" s="1"/>
      <c r="J293" s="119"/>
    </row>
    <row r="294" spans="1:10" ht="48.75" customHeight="1" x14ac:dyDescent="0.25">
      <c r="A294" s="1"/>
      <c r="B294" s="253"/>
      <c r="C294" s="67" t="s">
        <v>16</v>
      </c>
      <c r="D294" s="78" t="s">
        <v>2</v>
      </c>
      <c r="E294" s="67" t="s">
        <v>147</v>
      </c>
      <c r="F294" s="67" t="s">
        <v>148</v>
      </c>
      <c r="G294" s="67" t="s">
        <v>149</v>
      </c>
      <c r="H294" s="67" t="s">
        <v>150</v>
      </c>
      <c r="I294" s="1"/>
      <c r="J294" s="119"/>
    </row>
    <row r="295" spans="1:10" ht="15" customHeight="1" x14ac:dyDescent="0.25">
      <c r="A295" s="1"/>
      <c r="B295" s="253"/>
      <c r="C295" s="89" t="s">
        <v>121</v>
      </c>
      <c r="D295" s="123">
        <v>5090</v>
      </c>
      <c r="E295" s="74">
        <f>E296+E297</f>
        <v>25.655000000000001</v>
      </c>
      <c r="F295" s="74">
        <f>F296+F297</f>
        <v>5644.4270299999998</v>
      </c>
      <c r="G295" s="74">
        <f>D295-F295</f>
        <v>-554.42702999999983</v>
      </c>
      <c r="H295" s="74">
        <f>H296+H297</f>
        <v>6229.13933</v>
      </c>
      <c r="I295" s="247"/>
      <c r="J295" s="119"/>
    </row>
    <row r="296" spans="1:10" ht="15" customHeight="1" x14ac:dyDescent="0.25">
      <c r="A296" s="1"/>
      <c r="B296" s="253"/>
      <c r="C296" s="176" t="s">
        <v>8</v>
      </c>
      <c r="D296" s="123"/>
      <c r="E296" s="74">
        <f>10.7394</f>
        <v>10.7394</v>
      </c>
      <c r="F296" s="74">
        <f>4995.13499</f>
        <v>4995.1349899999996</v>
      </c>
      <c r="G296" s="74"/>
      <c r="H296" s="74">
        <f>5683.90359</f>
        <v>5683.9035899999999</v>
      </c>
      <c r="I296" s="247"/>
      <c r="J296" s="119"/>
    </row>
    <row r="297" spans="1:10" ht="15" customHeight="1" x14ac:dyDescent="0.25">
      <c r="A297" s="1"/>
      <c r="B297" s="253"/>
      <c r="C297" s="176" t="s">
        <v>67</v>
      </c>
      <c r="D297" s="123"/>
      <c r="E297" s="123">
        <f>14.9156</f>
        <v>14.9156</v>
      </c>
      <c r="F297" s="123">
        <f>649.29204</f>
        <v>649.29204000000004</v>
      </c>
      <c r="G297" s="167"/>
      <c r="H297" s="123">
        <f>545.23574</f>
        <v>545.23573999999996</v>
      </c>
      <c r="I297" s="247"/>
      <c r="J297" s="119"/>
    </row>
    <row r="298" spans="1:10" ht="15" customHeight="1" x14ac:dyDescent="0.25">
      <c r="A298" s="1"/>
      <c r="B298" s="253"/>
      <c r="C298" s="89" t="s">
        <v>122</v>
      </c>
      <c r="D298" s="123">
        <v>2981</v>
      </c>
      <c r="E298" s="74">
        <f>2.5862</f>
        <v>2.5861999999999998</v>
      </c>
      <c r="F298" s="74">
        <f>3661.99951</f>
        <v>3661.9995100000001</v>
      </c>
      <c r="G298" s="74">
        <f>D298-F298</f>
        <v>-680.9995100000001</v>
      </c>
      <c r="H298" s="74">
        <f>4512.36024</f>
        <v>4512.36024</v>
      </c>
      <c r="I298" s="247"/>
      <c r="J298" s="119"/>
    </row>
    <row r="299" spans="1:10" ht="16.5" customHeight="1" x14ac:dyDescent="0.25">
      <c r="A299" s="1"/>
      <c r="B299" s="253"/>
      <c r="C299" s="178" t="s">
        <v>87</v>
      </c>
      <c r="D299" s="189">
        <f>D298+D295</f>
        <v>8071</v>
      </c>
      <c r="E299" s="189">
        <f>SUM(E295,E298)</f>
        <v>28.241199999999999</v>
      </c>
      <c r="F299" s="189">
        <f>SUM(F295,F298)</f>
        <v>9306.4265400000004</v>
      </c>
      <c r="G299" s="189">
        <f>D299-F299</f>
        <v>-1235.4265400000004</v>
      </c>
      <c r="H299" s="189">
        <f>SUM(H295,H298)</f>
        <v>10741.49957</v>
      </c>
      <c r="I299" s="247"/>
      <c r="J299" s="119"/>
    </row>
    <row r="300" spans="1:10" ht="17.100000000000001" customHeight="1" thickBot="1" x14ac:dyDescent="0.3">
      <c r="A300" s="1"/>
      <c r="B300" s="163"/>
      <c r="C300" s="200"/>
      <c r="D300" s="106"/>
      <c r="E300" s="106"/>
      <c r="F300" s="209"/>
      <c r="G300" s="209"/>
      <c r="H300" s="209"/>
      <c r="I300" s="209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thickTop="1" x14ac:dyDescent="0.2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113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5"/>
      <c r="C337" s="173"/>
      <c r="D337" s="173"/>
      <c r="E337" s="173"/>
      <c r="F337" s="173"/>
      <c r="G337" s="173"/>
      <c r="H337" s="173"/>
      <c r="I337" s="173"/>
      <c r="J337" s="161"/>
    </row>
    <row r="338" spans="1:10" ht="14.1" customHeight="1" x14ac:dyDescent="0.25">
      <c r="A338" s="155"/>
      <c r="B338" s="51"/>
      <c r="C338" s="148" t="s">
        <v>1</v>
      </c>
      <c r="D338" s="184"/>
      <c r="E338" s="149"/>
      <c r="F338" s="149"/>
      <c r="G338" s="155"/>
      <c r="H338" s="155"/>
      <c r="I338" s="155"/>
      <c r="J338" s="119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49"/>
      <c r="F339" s="224"/>
      <c r="G339" s="1"/>
      <c r="H339" s="1"/>
      <c r="I339" s="1"/>
      <c r="J339" s="119"/>
    </row>
    <row r="340" spans="1:10" ht="14.1" customHeight="1" x14ac:dyDescent="0.25">
      <c r="A340" s="1"/>
      <c r="B340" s="253"/>
      <c r="C340" s="247" t="s">
        <v>90</v>
      </c>
      <c r="D340" s="45">
        <v>11613</v>
      </c>
      <c r="E340" s="149"/>
      <c r="F340" s="224"/>
      <c r="G340" s="1"/>
      <c r="H340" s="1"/>
      <c r="I340" s="1"/>
      <c r="J340" s="119"/>
    </row>
    <row r="341" spans="1:10" ht="14.1" customHeight="1" x14ac:dyDescent="0.25">
      <c r="A341" s="1"/>
      <c r="B341" s="253"/>
      <c r="C341" s="247" t="s">
        <v>91</v>
      </c>
      <c r="D341" s="45">
        <v>9054</v>
      </c>
      <c r="E341" s="149"/>
      <c r="F341" s="224"/>
      <c r="G341" s="1"/>
      <c r="H341" s="1"/>
      <c r="I341" s="1"/>
      <c r="J341" s="119"/>
    </row>
    <row r="342" spans="1:10" ht="13.5" customHeight="1" x14ac:dyDescent="0.25">
      <c r="A342" s="1"/>
      <c r="B342" s="253"/>
      <c r="C342" s="247" t="s">
        <v>124</v>
      </c>
      <c r="D342" s="45">
        <v>382</v>
      </c>
      <c r="E342" s="149"/>
      <c r="F342" s="224"/>
      <c r="G342" s="1"/>
      <c r="H342" s="1"/>
      <c r="I342" s="1"/>
      <c r="J342" s="119"/>
    </row>
    <row r="343" spans="1:10" ht="14.25" customHeight="1" x14ac:dyDescent="0.25">
      <c r="A343" s="1"/>
      <c r="B343" s="253"/>
      <c r="C343" s="56" t="s">
        <v>49</v>
      </c>
      <c r="D343" s="34">
        <f>SUM(D339:D342)</f>
        <v>24900</v>
      </c>
      <c r="E343" s="149"/>
      <c r="F343" s="149"/>
      <c r="G343" s="1"/>
      <c r="H343" s="1"/>
      <c r="I343" s="1"/>
      <c r="J343" s="119"/>
    </row>
    <row r="344" spans="1:10" ht="14.1" customHeight="1" x14ac:dyDescent="0.25">
      <c r="A344" s="1"/>
      <c r="B344" s="253"/>
      <c r="C344" s="227" t="s">
        <v>92</v>
      </c>
      <c r="D344" s="228"/>
      <c r="E344" s="177"/>
      <c r="F344" s="177"/>
      <c r="G344" s="1"/>
      <c r="H344" s="1"/>
      <c r="I344" s="1"/>
      <c r="J344" s="119"/>
    </row>
    <row r="345" spans="1:10" ht="15" customHeight="1" x14ac:dyDescent="0.25">
      <c r="A345" s="1"/>
      <c r="B345" s="253"/>
      <c r="C345" s="100" t="s">
        <v>102</v>
      </c>
      <c r="D345" s="229"/>
      <c r="E345" s="1"/>
      <c r="F345" s="1"/>
      <c r="G345" s="1"/>
      <c r="H345" s="1"/>
      <c r="I345" s="1"/>
      <c r="J345" s="119"/>
    </row>
    <row r="346" spans="1:10" ht="14.25" customHeight="1" x14ac:dyDescent="0.25">
      <c r="A346" s="1"/>
      <c r="B346" s="253"/>
      <c r="C346" s="100"/>
      <c r="D346" s="1"/>
      <c r="E346" s="1"/>
      <c r="F346" s="1"/>
      <c r="G346" s="1"/>
      <c r="H346" s="1"/>
      <c r="I346" s="1"/>
      <c r="J346" s="119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19"/>
    </row>
    <row r="349" spans="1:10" ht="54" customHeight="1" x14ac:dyDescent="0.25">
      <c r="A349" s="1"/>
      <c r="B349" s="253"/>
      <c r="C349" s="67" t="s">
        <v>16</v>
      </c>
      <c r="D349" s="242" t="s">
        <v>2</v>
      </c>
      <c r="E349" s="67" t="s">
        <v>147</v>
      </c>
      <c r="F349" s="67" t="s">
        <v>148</v>
      </c>
      <c r="G349" s="67" t="s">
        <v>149</v>
      </c>
      <c r="H349" s="67" t="s">
        <v>150</v>
      </c>
      <c r="I349" s="1"/>
      <c r="J349" s="115"/>
    </row>
    <row r="350" spans="1:10" ht="14.1" customHeight="1" x14ac:dyDescent="0.25">
      <c r="A350" s="66"/>
      <c r="B350" s="77"/>
      <c r="C350" s="89" t="s">
        <v>93</v>
      </c>
      <c r="D350" s="123">
        <v>800</v>
      </c>
      <c r="E350" s="123">
        <f>2.56886</f>
        <v>2.5688599999999999</v>
      </c>
      <c r="F350" s="123">
        <f>742.79459</f>
        <v>742.79458999999997</v>
      </c>
      <c r="G350" s="123">
        <f>D350-F350</f>
        <v>57.205410000000029</v>
      </c>
      <c r="H350" s="123">
        <f>654.8973</f>
        <v>654.89729999999997</v>
      </c>
      <c r="I350" s="66"/>
      <c r="J350" s="243"/>
    </row>
    <row r="351" spans="1:10" ht="14.1" customHeight="1" x14ac:dyDescent="0.25">
      <c r="A351" s="1"/>
      <c r="B351" s="253"/>
      <c r="C351" s="89" t="s">
        <v>94</v>
      </c>
      <c r="D351" s="245">
        <v>3041</v>
      </c>
      <c r="E351" s="123">
        <f>0.65341</f>
        <v>0.65341000000000005</v>
      </c>
      <c r="F351" s="123">
        <f>2811.37848</f>
        <v>2811.3784799999999</v>
      </c>
      <c r="G351" s="123">
        <f>D351-F351</f>
        <v>229.62152000000015</v>
      </c>
      <c r="H351" s="123">
        <f>2820.70154</f>
        <v>2820.70154</v>
      </c>
      <c r="I351" s="177"/>
      <c r="J351" s="115"/>
    </row>
    <row r="352" spans="1:10" ht="16.5" customHeight="1" x14ac:dyDescent="0.25">
      <c r="A352" s="66"/>
      <c r="B352" s="77"/>
      <c r="C352" s="145" t="s">
        <v>81</v>
      </c>
      <c r="D352" s="245">
        <v>10</v>
      </c>
      <c r="E352" s="167">
        <f>0</f>
        <v>0</v>
      </c>
      <c r="F352" s="167">
        <f>3.78662</f>
        <v>3.7866200000000001</v>
      </c>
      <c r="G352" s="123">
        <f>D352-F352</f>
        <v>6.2133799999999999</v>
      </c>
      <c r="H352" s="167">
        <f>6.93874</f>
        <v>6.9387400000000001</v>
      </c>
      <c r="I352" s="66"/>
      <c r="J352" s="248"/>
    </row>
    <row r="353" spans="1:10" ht="18.75" customHeight="1" x14ac:dyDescent="0.25">
      <c r="A353" s="66"/>
      <c r="B353" s="249"/>
      <c r="C353" s="145" t="s">
        <v>95</v>
      </c>
      <c r="D353" s="221"/>
      <c r="E353" s="167">
        <f>0.105</f>
        <v>0.105</v>
      </c>
      <c r="F353" s="167">
        <f>2.79751</f>
        <v>2.7975099999999999</v>
      </c>
      <c r="G353" s="123">
        <f>D353-F353</f>
        <v>-2.7975099999999999</v>
      </c>
      <c r="H353" s="167">
        <f>1.85703</f>
        <v>1.85703</v>
      </c>
      <c r="I353" s="283"/>
      <c r="J353" s="119"/>
    </row>
    <row r="354" spans="1:10" ht="14.1" customHeight="1" x14ac:dyDescent="0.25">
      <c r="A354" s="1"/>
      <c r="B354" s="253"/>
      <c r="C354" s="178" t="s">
        <v>87</v>
      </c>
      <c r="D354" s="6">
        <f>D339</f>
        <v>3851</v>
      </c>
      <c r="E354" s="189">
        <f>SUM(E350:E353)</f>
        <v>3.3272699999999999</v>
      </c>
      <c r="F354" s="189">
        <f>SUM(F350:F353)</f>
        <v>3560.7571999999996</v>
      </c>
      <c r="G354" s="189">
        <f>D354-F354</f>
        <v>290.24280000000044</v>
      </c>
      <c r="H354" s="189">
        <f>H350+H351+H352+H353</f>
        <v>3484.3946100000003</v>
      </c>
      <c r="I354" s="1"/>
      <c r="J354" s="119"/>
    </row>
    <row r="355" spans="1:10" ht="14.1" customHeight="1" x14ac:dyDescent="0.25">
      <c r="A355" s="1"/>
      <c r="B355" s="253"/>
      <c r="C355" s="21"/>
      <c r="D355" s="33"/>
      <c r="E355" s="33"/>
      <c r="F355" s="33"/>
      <c r="G355" s="33"/>
      <c r="H355" s="33"/>
      <c r="I355" s="1"/>
      <c r="J355" s="119"/>
    </row>
    <row r="356" spans="1:10" ht="14.1" customHeight="1" x14ac:dyDescent="0.25">
      <c r="A356" s="1"/>
      <c r="B356" s="163"/>
      <c r="C356" s="106"/>
      <c r="D356" s="106"/>
      <c r="E356" s="106"/>
      <c r="F356" s="106"/>
      <c r="G356" s="105"/>
      <c r="H356" s="106"/>
      <c r="I356" s="106"/>
      <c r="J356" s="117"/>
    </row>
    <row r="357" spans="1:10" ht="14.1" customHeight="1" x14ac:dyDescent="0.25">
      <c r="A357" s="1"/>
      <c r="C357" s="149" t="s">
        <v>113</v>
      </c>
    </row>
    <row r="358" spans="1:10" ht="14.1" customHeight="1" x14ac:dyDescent="0.25">
      <c r="A358" s="1" t="s">
        <v>113</v>
      </c>
    </row>
    <row r="359" spans="1:10" ht="14.1" customHeight="1" x14ac:dyDescent="0.25">
      <c r="A359" s="1" t="s">
        <v>113</v>
      </c>
    </row>
    <row r="360" spans="1:10" ht="14.1" customHeight="1" x14ac:dyDescent="0.25">
      <c r="A360" s="1"/>
      <c r="C360" s="149" t="s">
        <v>113</v>
      </c>
    </row>
    <row r="361" spans="1:10" x14ac:dyDescent="0.25">
      <c r="A361" s="1"/>
      <c r="C361" s="149" t="s">
        <v>113</v>
      </c>
    </row>
    <row r="362" spans="1:10" ht="14.1" customHeight="1" x14ac:dyDescent="0.25">
      <c r="A362" s="1"/>
      <c r="C362" s="149" t="s">
        <v>113</v>
      </c>
    </row>
    <row r="363" spans="1:10" ht="14.1" customHeight="1" x14ac:dyDescent="0.25">
      <c r="A363" s="1"/>
      <c r="C363" s="149" t="s">
        <v>113</v>
      </c>
    </row>
    <row r="364" spans="1:10" ht="30" customHeight="1" x14ac:dyDescent="0.35">
      <c r="A364" s="217"/>
      <c r="B364" s="1"/>
      <c r="C364" s="214" t="s">
        <v>96</v>
      </c>
      <c r="D364" s="155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2"/>
      <c r="C365" s="238"/>
      <c r="D365" s="238"/>
      <c r="E365" s="238"/>
      <c r="F365" s="238"/>
      <c r="G365" s="238"/>
      <c r="H365" s="238"/>
      <c r="I365" s="238"/>
      <c r="J365" s="59"/>
    </row>
    <row r="366" spans="1:10" ht="6" customHeight="1" x14ac:dyDescent="0.25">
      <c r="B366" s="71"/>
      <c r="C366" s="149"/>
      <c r="D366" s="149"/>
      <c r="E366" s="149"/>
      <c r="F366" s="149"/>
      <c r="G366" s="149"/>
      <c r="H366" s="149"/>
      <c r="I366" s="149"/>
      <c r="J366" s="129"/>
    </row>
    <row r="367" spans="1:10" ht="18" customHeight="1" x14ac:dyDescent="0.25">
      <c r="B367" s="71"/>
      <c r="C367" s="148" t="s">
        <v>1</v>
      </c>
      <c r="D367" s="184"/>
      <c r="E367" s="148" t="s">
        <v>97</v>
      </c>
      <c r="F367" s="184"/>
      <c r="G367" s="148" t="s">
        <v>98</v>
      </c>
      <c r="H367" s="184"/>
      <c r="I367" s="149"/>
      <c r="J367" s="129"/>
    </row>
    <row r="368" spans="1:10" ht="14.25" customHeight="1" x14ac:dyDescent="0.25">
      <c r="B368" s="71"/>
      <c r="C368" s="258" t="s">
        <v>84</v>
      </c>
      <c r="D368" s="269">
        <v>35008</v>
      </c>
      <c r="E368" s="251" t="s">
        <v>4</v>
      </c>
      <c r="F368" s="102">
        <v>21508</v>
      </c>
      <c r="G368" s="247" t="s">
        <v>20</v>
      </c>
      <c r="H368" s="45">
        <v>12051</v>
      </c>
      <c r="I368" s="149"/>
      <c r="J368" s="129"/>
    </row>
    <row r="369" spans="1:10" ht="14.25" customHeight="1" x14ac:dyDescent="0.25">
      <c r="B369" s="71"/>
      <c r="C369" s="247" t="s">
        <v>91</v>
      </c>
      <c r="D369" s="45">
        <v>23995</v>
      </c>
      <c r="E369" s="177" t="s">
        <v>94</v>
      </c>
      <c r="F369" s="46">
        <v>8000</v>
      </c>
      <c r="G369" s="247" t="s">
        <v>21</v>
      </c>
      <c r="H369" s="45">
        <v>3136</v>
      </c>
      <c r="I369" s="149"/>
      <c r="J369" s="129"/>
    </row>
    <row r="370" spans="1:10" ht="14.25" customHeight="1" x14ac:dyDescent="0.25">
      <c r="B370" s="71"/>
      <c r="C370" s="247" t="s">
        <v>90</v>
      </c>
      <c r="D370" s="45">
        <v>8105</v>
      </c>
      <c r="E370" s="177" t="s">
        <v>59</v>
      </c>
      <c r="F370" s="46">
        <v>5500</v>
      </c>
      <c r="G370" s="247" t="s">
        <v>99</v>
      </c>
      <c r="H370" s="45">
        <v>4867</v>
      </c>
      <c r="I370" s="149"/>
      <c r="J370" s="129"/>
    </row>
    <row r="371" spans="1:10" ht="14.1" customHeight="1" x14ac:dyDescent="0.25">
      <c r="B371" s="71"/>
      <c r="C371" s="247"/>
      <c r="D371" s="45"/>
      <c r="E371" s="130"/>
      <c r="F371" s="143"/>
      <c r="G371" s="247" t="s">
        <v>100</v>
      </c>
      <c r="H371" s="45">
        <v>1454</v>
      </c>
      <c r="I371" s="149"/>
      <c r="J371" s="129"/>
    </row>
    <row r="372" spans="1:10" ht="14.1" customHeight="1" x14ac:dyDescent="0.25">
      <c r="B372" s="71"/>
      <c r="C372" s="56" t="s">
        <v>49</v>
      </c>
      <c r="D372" s="34">
        <v>66876</v>
      </c>
      <c r="E372" s="172" t="s">
        <v>101</v>
      </c>
      <c r="F372" s="34">
        <f>F368+F369+F370</f>
        <v>35008</v>
      </c>
      <c r="G372" s="56" t="s">
        <v>4</v>
      </c>
      <c r="H372" s="34">
        <f>SUM(H368:H371)</f>
        <v>21508</v>
      </c>
      <c r="I372" s="149"/>
      <c r="J372" s="129"/>
    </row>
    <row r="373" spans="1:10" ht="13.35" customHeight="1" x14ac:dyDescent="0.25">
      <c r="B373" s="71"/>
      <c r="C373" s="210" t="s">
        <v>133</v>
      </c>
      <c r="D373" s="177"/>
      <c r="E373" s="177"/>
      <c r="F373" s="177"/>
      <c r="G373" s="1"/>
      <c r="H373" s="177"/>
      <c r="I373" s="177"/>
      <c r="J373" s="243"/>
    </row>
    <row r="374" spans="1:10" ht="13.35" customHeight="1" x14ac:dyDescent="0.25">
      <c r="B374" s="71"/>
      <c r="C374" s="211" t="s">
        <v>134</v>
      </c>
      <c r="D374" s="1"/>
      <c r="E374" s="1"/>
      <c r="F374" s="1"/>
      <c r="G374" s="1"/>
      <c r="H374" s="1"/>
      <c r="I374" s="1"/>
      <c r="J374" s="119"/>
    </row>
    <row r="375" spans="1:10" ht="9.75" customHeight="1" x14ac:dyDescent="0.25">
      <c r="B375" s="71"/>
      <c r="C375" s="100"/>
      <c r="D375" s="1"/>
      <c r="E375" s="1"/>
      <c r="F375" s="1"/>
      <c r="G375" s="1"/>
      <c r="H375" s="1"/>
      <c r="I375" s="1"/>
      <c r="J375" s="119"/>
    </row>
    <row r="376" spans="1:10" ht="18" customHeight="1" x14ac:dyDescent="0.25">
      <c r="B376" s="71"/>
      <c r="C376" s="149"/>
      <c r="D376" s="149"/>
      <c r="E376" s="149"/>
      <c r="F376" s="149"/>
      <c r="G376" s="149"/>
      <c r="H376" s="149"/>
      <c r="I376" s="149"/>
      <c r="J376" s="129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7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1"/>
      <c r="C379" s="222" t="s">
        <v>16</v>
      </c>
      <c r="D379" s="231" t="s">
        <v>17</v>
      </c>
      <c r="E379" s="67" t="s">
        <v>140</v>
      </c>
      <c r="F379" s="67" t="s">
        <v>147</v>
      </c>
      <c r="G379" s="67" t="s">
        <v>148</v>
      </c>
      <c r="H379" s="67" t="s">
        <v>149</v>
      </c>
      <c r="I379" s="67" t="s">
        <v>150</v>
      </c>
      <c r="J379" s="129"/>
    </row>
    <row r="380" spans="1:10" ht="14.1" customHeight="1" x14ac:dyDescent="0.25">
      <c r="A380" s="217"/>
      <c r="B380" s="71"/>
      <c r="C380" s="246" t="s">
        <v>19</v>
      </c>
      <c r="D380" s="250">
        <f t="shared" ref="D380:I380" si="16">D384+D383+D382+D381</f>
        <v>21508</v>
      </c>
      <c r="E380" s="250">
        <v>22969</v>
      </c>
      <c r="F380" s="252">
        <f t="shared" si="16"/>
        <v>14.1546</v>
      </c>
      <c r="G380" s="252">
        <f t="shared" si="16"/>
        <v>20590.282910000002</v>
      </c>
      <c r="H380" s="252">
        <f>H384+H383+H382+H381</f>
        <v>2378.7170899999992</v>
      </c>
      <c r="I380" s="252">
        <f t="shared" si="16"/>
        <v>17850.955109999999</v>
      </c>
      <c r="J380" s="129"/>
    </row>
    <row r="381" spans="1:10" ht="14.1" customHeight="1" x14ac:dyDescent="0.25">
      <c r="A381" s="217"/>
      <c r="B381" s="71"/>
      <c r="C381" s="254" t="s">
        <v>103</v>
      </c>
      <c r="D381" s="255">
        <v>12051</v>
      </c>
      <c r="E381" s="255">
        <v>13190</v>
      </c>
      <c r="F381" s="256">
        <f>0</f>
        <v>0</v>
      </c>
      <c r="G381" s="256">
        <f>13313.25321</f>
        <v>13313.253210000001</v>
      </c>
      <c r="H381" s="256">
        <f t="shared" ref="H381:H385" si="17">E381-G381</f>
        <v>-123.25321000000076</v>
      </c>
      <c r="I381" s="256">
        <f>10403.44768</f>
        <v>10403.447679999999</v>
      </c>
      <c r="J381" s="129"/>
    </row>
    <row r="382" spans="1:10" ht="14.1" customHeight="1" x14ac:dyDescent="0.25">
      <c r="A382" s="217"/>
      <c r="B382" s="71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2382.55392</f>
        <v>2382.5539199999998</v>
      </c>
      <c r="H382" s="256">
        <f t="shared" si="17"/>
        <v>1050.4460800000002</v>
      </c>
      <c r="I382" s="256">
        <f>1821.92085</f>
        <v>1821.92085</v>
      </c>
      <c r="J382" s="129"/>
    </row>
    <row r="383" spans="1:10" ht="14.1" customHeight="1" x14ac:dyDescent="0.25">
      <c r="A383" s="217"/>
      <c r="B383" s="71"/>
      <c r="C383" s="259" t="s">
        <v>100</v>
      </c>
      <c r="D383" s="255">
        <v>1454</v>
      </c>
      <c r="E383" s="255">
        <v>1483</v>
      </c>
      <c r="F383" s="256">
        <f>14.0802</f>
        <v>14.0802</v>
      </c>
      <c r="G383" s="256">
        <f>2322.75347</f>
        <v>2322.7534700000001</v>
      </c>
      <c r="H383" s="256">
        <f t="shared" si="17"/>
        <v>-839.75347000000011</v>
      </c>
      <c r="I383" s="256">
        <f>2424.24588</f>
        <v>2424.2458799999999</v>
      </c>
      <c r="J383" s="129"/>
    </row>
    <row r="384" spans="1:10" ht="14.1" customHeight="1" x14ac:dyDescent="0.25">
      <c r="A384" s="217"/>
      <c r="B384" s="71"/>
      <c r="C384" s="261" t="s">
        <v>141</v>
      </c>
      <c r="D384" s="262">
        <v>4867</v>
      </c>
      <c r="E384" s="262">
        <v>4863</v>
      </c>
      <c r="F384" s="256">
        <f>0.0744</f>
        <v>7.4399999999999994E-2</v>
      </c>
      <c r="G384" s="256">
        <f>2571.72231</f>
        <v>2571.7223100000001</v>
      </c>
      <c r="H384" s="256">
        <f t="shared" si="17"/>
        <v>2291.2776899999999</v>
      </c>
      <c r="I384" s="256">
        <f>3201.3407</f>
        <v>3201.3407000000002</v>
      </c>
      <c r="J384" s="129"/>
    </row>
    <row r="385" spans="1:10" ht="14.1" customHeight="1" x14ac:dyDescent="0.25">
      <c r="A385" s="217"/>
      <c r="B385" s="71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2411.01778</f>
        <v>2411.0177800000001</v>
      </c>
      <c r="H385" s="267">
        <f t="shared" si="17"/>
        <v>3088.9822199999999</v>
      </c>
      <c r="I385" s="267">
        <f>5114.46228</f>
        <v>5114.4622799999997</v>
      </c>
      <c r="J385" s="129"/>
    </row>
    <row r="386" spans="1:10" ht="14.1" customHeight="1" x14ac:dyDescent="0.25">
      <c r="A386" s="217"/>
      <c r="B386" s="71"/>
      <c r="C386" s="246" t="s">
        <v>22</v>
      </c>
      <c r="D386" s="250">
        <v>8000</v>
      </c>
      <c r="E386" s="250">
        <v>8000</v>
      </c>
      <c r="F386" s="268">
        <f>F388+F387</f>
        <v>0.4914</v>
      </c>
      <c r="G386" s="268">
        <f>G388+G387</f>
        <v>4303.9510499999997</v>
      </c>
      <c r="H386" s="268">
        <f>E386-G386</f>
        <v>3696.0489500000003</v>
      </c>
      <c r="I386" s="268">
        <f>I388+I387</f>
        <v>4933.7699299999995</v>
      </c>
      <c r="J386" s="129"/>
    </row>
    <row r="387" spans="1:10" ht="14.1" customHeight="1" x14ac:dyDescent="0.25">
      <c r="A387" s="217"/>
      <c r="B387" s="71"/>
      <c r="C387" s="259" t="s">
        <v>53</v>
      </c>
      <c r="D387" s="270"/>
      <c r="E387" s="255"/>
      <c r="F387" s="256">
        <f>0</f>
        <v>0</v>
      </c>
      <c r="G387" s="256">
        <f>1065.87556</f>
        <v>1065.87556</v>
      </c>
      <c r="H387" s="256"/>
      <c r="I387" s="256">
        <f>886.04813</f>
        <v>886.04813000000001</v>
      </c>
      <c r="J387" s="129"/>
    </row>
    <row r="388" spans="1:10" ht="14.1" customHeight="1" x14ac:dyDescent="0.25">
      <c r="A388" s="217"/>
      <c r="B388" s="71"/>
      <c r="C388" s="272" t="s">
        <v>104</v>
      </c>
      <c r="D388" s="273"/>
      <c r="E388" s="276"/>
      <c r="F388" s="277">
        <f>0.4914</f>
        <v>0.4914</v>
      </c>
      <c r="G388" s="277">
        <f>3238.07549</f>
        <v>3238.0754900000002</v>
      </c>
      <c r="H388" s="277"/>
      <c r="I388" s="277">
        <f>4047.7218</f>
        <v>4047.7217999999998</v>
      </c>
      <c r="J388" s="129"/>
    </row>
    <row r="389" spans="1:10" ht="14.1" customHeight="1" x14ac:dyDescent="0.25">
      <c r="A389" s="217"/>
      <c r="B389" s="71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0.1565</f>
        <v>0.1565</v>
      </c>
      <c r="H389" s="267">
        <f>E389-G389</f>
        <v>12.843500000000001</v>
      </c>
      <c r="I389" s="267">
        <f>0.7485</f>
        <v>0.74850000000000005</v>
      </c>
      <c r="J389" s="129"/>
    </row>
    <row r="390" spans="1:10" ht="14.1" customHeight="1" x14ac:dyDescent="0.25">
      <c r="A390" s="217"/>
      <c r="B390" s="71"/>
      <c r="C390" s="278" t="s">
        <v>105</v>
      </c>
      <c r="D390" s="281"/>
      <c r="E390" s="282"/>
      <c r="F390" s="267">
        <f>0.0012</f>
        <v>1.1999999999999999E-3</v>
      </c>
      <c r="G390" s="267">
        <f>135.25575</f>
        <v>135.25575000000001</v>
      </c>
      <c r="H390" s="267">
        <f>E390-G390</f>
        <v>-135.25575000000001</v>
      </c>
      <c r="I390" s="267">
        <f>151.34861</f>
        <v>151.34861000000001</v>
      </c>
      <c r="J390" s="129"/>
    </row>
    <row r="391" spans="1:10" ht="19.5" customHeight="1" x14ac:dyDescent="0.25">
      <c r="A391" s="217"/>
      <c r="B391" s="71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8">F380+F385+F386+F389+F390</f>
        <v>14.647200000000002</v>
      </c>
      <c r="G391" s="286">
        <f t="shared" si="18"/>
        <v>27440.663990000005</v>
      </c>
      <c r="H391" s="286">
        <f>H380+H385+H386+H389+H390</f>
        <v>9041.3360100000009</v>
      </c>
      <c r="I391" s="286">
        <f t="shared" si="18"/>
        <v>28051.28443</v>
      </c>
      <c r="J391" s="129"/>
    </row>
    <row r="392" spans="1:10" ht="14.1" customHeight="1" x14ac:dyDescent="0.25">
      <c r="A392" s="217"/>
      <c r="B392" s="71"/>
      <c r="C392" s="160" t="s">
        <v>106</v>
      </c>
      <c r="D392" s="288"/>
      <c r="E392" s="288"/>
      <c r="F392" s="4"/>
      <c r="G392" s="4"/>
      <c r="H392" s="5"/>
      <c r="I392" s="5"/>
      <c r="J392" s="129"/>
    </row>
    <row r="393" spans="1:10" ht="14.1" customHeight="1" x14ac:dyDescent="0.25">
      <c r="A393" s="217"/>
      <c r="B393" s="71"/>
      <c r="C393" s="100" t="s">
        <v>142</v>
      </c>
      <c r="D393" s="288"/>
      <c r="E393" s="288"/>
      <c r="F393" s="4"/>
      <c r="G393" s="4"/>
      <c r="H393" s="7"/>
      <c r="I393" s="5"/>
      <c r="J393" s="129"/>
    </row>
    <row r="394" spans="1:10" ht="14.1" customHeight="1" x14ac:dyDescent="0.25">
      <c r="A394" s="217"/>
      <c r="B394" s="71"/>
      <c r="C394" s="100"/>
      <c r="D394" s="288"/>
      <c r="E394" s="288"/>
      <c r="F394" s="4"/>
      <c r="G394" s="4"/>
      <c r="H394" s="5"/>
      <c r="I394" s="7"/>
      <c r="J394" s="129"/>
    </row>
    <row r="395" spans="1:10" ht="15.75" customHeight="1" x14ac:dyDescent="0.25">
      <c r="A395" s="217"/>
      <c r="B395" s="8"/>
      <c r="C395" s="9"/>
      <c r="D395" s="106"/>
      <c r="E395" s="106"/>
      <c r="F395" s="106"/>
      <c r="G395" s="106"/>
      <c r="H395" s="106"/>
      <c r="I395" s="106"/>
      <c r="J395" s="12"/>
    </row>
    <row r="396" spans="1:10" ht="15.75" customHeight="1" x14ac:dyDescent="0.25">
      <c r="A396" s="217"/>
      <c r="B396" s="149" t="s">
        <v>113</v>
      </c>
      <c r="C396" s="14"/>
      <c r="D396" s="1"/>
      <c r="E396" s="1"/>
      <c r="F396" s="1"/>
      <c r="G396" s="1"/>
      <c r="H396" s="1"/>
      <c r="I396" s="1"/>
      <c r="J396" s="149"/>
    </row>
    <row r="397" spans="1:10" ht="294.75" customHeight="1" x14ac:dyDescent="0.25">
      <c r="A397" s="217"/>
      <c r="B397" s="149" t="s">
        <v>113</v>
      </c>
      <c r="C397" s="14"/>
      <c r="D397" s="1"/>
      <c r="E397" s="1"/>
      <c r="F397" s="1"/>
      <c r="G397" s="1"/>
      <c r="H397" s="1"/>
      <c r="I397" s="1"/>
      <c r="J397" s="149"/>
    </row>
    <row r="398" spans="1:10" ht="14.1" customHeight="1" x14ac:dyDescent="0.25">
      <c r="A398" s="217"/>
      <c r="C398" s="149" t="s">
        <v>113</v>
      </c>
      <c r="D398" s="155"/>
    </row>
    <row r="399" spans="1:10" ht="14.1" customHeight="1" x14ac:dyDescent="0.25">
      <c r="A399" s="217"/>
      <c r="B399" s="122"/>
      <c r="C399" s="238"/>
      <c r="D399" s="17"/>
      <c r="E399" s="238"/>
      <c r="F399" s="238"/>
      <c r="G399" s="238"/>
      <c r="H399" s="238"/>
      <c r="I399" s="238"/>
      <c r="J399" s="59"/>
    </row>
    <row r="400" spans="1:10" ht="14.1" customHeight="1" x14ac:dyDescent="0.25">
      <c r="A400" s="217"/>
      <c r="B400" s="71"/>
      <c r="C400" s="218" t="s">
        <v>107</v>
      </c>
      <c r="D400" s="155"/>
      <c r="E400" s="149"/>
      <c r="G400" s="149"/>
      <c r="H400" s="149"/>
      <c r="I400" s="149"/>
      <c r="J400" s="129"/>
    </row>
    <row r="401" spans="1:10" ht="14.1" customHeight="1" x14ac:dyDescent="0.25">
      <c r="A401" s="217"/>
      <c r="B401" s="71"/>
      <c r="C401" s="149"/>
      <c r="D401" s="155"/>
      <c r="E401" s="149"/>
      <c r="G401" s="149"/>
      <c r="H401" s="149"/>
      <c r="I401" s="149"/>
      <c r="J401" s="129"/>
    </row>
    <row r="402" spans="1:10" ht="14.1" customHeight="1" x14ac:dyDescent="0.25">
      <c r="A402" s="217"/>
      <c r="B402" s="71"/>
      <c r="C402" s="148" t="s">
        <v>1</v>
      </c>
      <c r="D402" s="184"/>
      <c r="E402" s="149"/>
      <c r="F402" s="149"/>
      <c r="G402" s="149"/>
      <c r="H402" s="149"/>
      <c r="I402" s="149"/>
      <c r="J402" s="129"/>
    </row>
    <row r="403" spans="1:10" ht="14.1" customHeight="1" x14ac:dyDescent="0.25">
      <c r="A403" s="217"/>
      <c r="B403" s="71"/>
      <c r="C403" s="258" t="s">
        <v>6</v>
      </c>
      <c r="D403" s="269">
        <v>2681</v>
      </c>
      <c r="E403" s="149"/>
      <c r="F403" s="149"/>
      <c r="G403" s="149"/>
      <c r="H403" s="149"/>
      <c r="I403" s="149"/>
      <c r="J403" s="129"/>
    </row>
    <row r="404" spans="1:10" ht="14.1" customHeight="1" x14ac:dyDescent="0.25">
      <c r="A404" s="217"/>
      <c r="B404" s="71"/>
      <c r="C404" s="247" t="s">
        <v>91</v>
      </c>
      <c r="D404" s="45">
        <v>1753</v>
      </c>
      <c r="E404" s="149"/>
      <c r="G404" s="149"/>
      <c r="H404" s="149"/>
      <c r="I404" s="149"/>
      <c r="J404" s="129"/>
    </row>
    <row r="405" spans="1:10" ht="14.1" customHeight="1" x14ac:dyDescent="0.25">
      <c r="A405" s="217"/>
      <c r="B405" s="71"/>
      <c r="C405" s="247" t="s">
        <v>74</v>
      </c>
      <c r="D405" s="45">
        <v>123</v>
      </c>
      <c r="E405" s="149"/>
      <c r="F405" s="149"/>
      <c r="G405" s="149"/>
      <c r="H405" s="149"/>
      <c r="I405" s="149"/>
      <c r="J405" s="129"/>
    </row>
    <row r="406" spans="1:10" ht="14.1" customHeight="1" x14ac:dyDescent="0.25">
      <c r="A406" s="217"/>
      <c r="B406" s="71"/>
      <c r="C406" s="56" t="s">
        <v>49</v>
      </c>
      <c r="D406" s="34">
        <v>4557</v>
      </c>
      <c r="E406" s="149"/>
      <c r="F406" s="149"/>
      <c r="G406" s="149"/>
      <c r="H406" s="149"/>
      <c r="I406" s="149"/>
      <c r="J406" s="129"/>
    </row>
    <row r="407" spans="1:10" ht="14.1" customHeight="1" x14ac:dyDescent="0.25">
      <c r="A407" s="217"/>
      <c r="B407" s="71"/>
      <c r="C407" s="307" t="s">
        <v>138</v>
      </c>
      <c r="D407" s="307"/>
      <c r="E407" s="307"/>
      <c r="F407" s="307"/>
      <c r="G407" s="213"/>
      <c r="H407" s="213"/>
      <c r="I407" s="149"/>
      <c r="J407" s="129"/>
    </row>
    <row r="408" spans="1:10" ht="14.1" customHeight="1" x14ac:dyDescent="0.25">
      <c r="A408" s="217"/>
      <c r="B408" s="71"/>
      <c r="C408" s="213"/>
      <c r="D408" s="213"/>
      <c r="E408" s="213"/>
      <c r="F408" s="213"/>
      <c r="G408" s="213"/>
      <c r="H408" s="213"/>
      <c r="I408" s="149"/>
      <c r="J408" s="129"/>
    </row>
    <row r="409" spans="1:10" ht="14.1" customHeight="1" x14ac:dyDescent="0.25">
      <c r="A409" s="217"/>
      <c r="B409" s="71"/>
      <c r="C409" s="149"/>
      <c r="D409" s="155"/>
      <c r="E409" s="149"/>
      <c r="F409" s="149"/>
      <c r="G409" s="149"/>
      <c r="H409" s="149"/>
      <c r="I409" s="149"/>
      <c r="J409" s="129"/>
    </row>
    <row r="410" spans="1:10" ht="14.1" customHeight="1" x14ac:dyDescent="0.25">
      <c r="A410" s="217"/>
      <c r="B410" s="71"/>
      <c r="C410" s="149"/>
      <c r="D410" s="149"/>
      <c r="E410" s="149"/>
      <c r="F410" s="149"/>
      <c r="G410" s="149"/>
      <c r="H410" s="149"/>
      <c r="I410" s="149"/>
      <c r="J410" s="129"/>
    </row>
    <row r="411" spans="1:10" ht="29.25" customHeight="1" thickBot="1" x14ac:dyDescent="0.3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thickBot="1" x14ac:dyDescent="0.3">
      <c r="A412" s="217"/>
      <c r="B412" s="197"/>
      <c r="C412" s="20" t="s">
        <v>108</v>
      </c>
      <c r="D412" s="22" t="s">
        <v>109</v>
      </c>
      <c r="E412" s="67" t="s">
        <v>147</v>
      </c>
      <c r="F412" s="67" t="s">
        <v>148</v>
      </c>
      <c r="G412" s="67" t="s">
        <v>149</v>
      </c>
      <c r="H412" s="67" t="s">
        <v>150</v>
      </c>
      <c r="I412" s="223"/>
      <c r="J412" s="13"/>
    </row>
    <row r="413" spans="1:10" ht="14.1" customHeight="1" thickBot="1" x14ac:dyDescent="0.3">
      <c r="A413" s="217"/>
      <c r="B413" s="71"/>
      <c r="C413" s="264" t="s">
        <v>110</v>
      </c>
      <c r="D413" s="203">
        <v>894</v>
      </c>
      <c r="E413" s="25">
        <f>SUM(E414:E415)</f>
        <v>0</v>
      </c>
      <c r="F413" s="25">
        <f>SUM(F414:F415)</f>
        <v>1023.20588</v>
      </c>
      <c r="G413" s="84">
        <f>D413-F413</f>
        <v>-129.20587999999998</v>
      </c>
      <c r="H413" s="25">
        <f>SUM(H414:H415)</f>
        <v>988.40122999999994</v>
      </c>
      <c r="I413" s="26"/>
      <c r="J413" s="129"/>
    </row>
    <row r="414" spans="1:10" ht="14.1" customHeight="1" x14ac:dyDescent="0.25">
      <c r="A414" s="217"/>
      <c r="B414" s="71"/>
      <c r="C414" s="28" t="s">
        <v>8</v>
      </c>
      <c r="E414" s="204">
        <f>0</f>
        <v>0</v>
      </c>
      <c r="F414" s="204">
        <f>778.94708</f>
        <v>778.94708000000003</v>
      </c>
      <c r="G414" s="205"/>
      <c r="H414" s="204">
        <f>753.71223</f>
        <v>753.71222999999998</v>
      </c>
      <c r="I414" s="149"/>
      <c r="J414" s="129"/>
    </row>
    <row r="415" spans="1:10" ht="14.1" customHeight="1" x14ac:dyDescent="0.25">
      <c r="A415" s="217"/>
      <c r="B415" s="71"/>
      <c r="C415" s="28" t="s">
        <v>11</v>
      </c>
      <c r="D415" s="206"/>
      <c r="E415" s="207">
        <f>0</f>
        <v>0</v>
      </c>
      <c r="F415" s="207">
        <f>244.2588</f>
        <v>244.25880000000001</v>
      </c>
      <c r="G415" s="208"/>
      <c r="H415" s="207">
        <f>234.689</f>
        <v>234.68899999999999</v>
      </c>
      <c r="I415" s="149"/>
      <c r="J415" s="129"/>
    </row>
    <row r="416" spans="1:10" ht="14.1" customHeight="1" x14ac:dyDescent="0.25">
      <c r="A416" s="217"/>
      <c r="B416" s="71"/>
      <c r="C416" s="264" t="s">
        <v>111</v>
      </c>
      <c r="D416" s="10">
        <v>894</v>
      </c>
      <c r="E416" s="25">
        <f>SUM(E417:E418)</f>
        <v>6.5597000000000003</v>
      </c>
      <c r="F416" s="25">
        <f>SUM(F417:F418)</f>
        <v>419.65994000000001</v>
      </c>
      <c r="G416" s="84">
        <f>D416-F416</f>
        <v>474.34005999999999</v>
      </c>
      <c r="H416" s="25">
        <f>SUM(H417:H418)</f>
        <v>458.42380000000003</v>
      </c>
      <c r="I416" s="26"/>
      <c r="J416" s="129"/>
    </row>
    <row r="417" spans="1:10" ht="14.1" customHeight="1" x14ac:dyDescent="0.25">
      <c r="A417" s="217"/>
      <c r="B417" s="71"/>
      <c r="C417" s="28" t="s">
        <v>8</v>
      </c>
      <c r="D417" s="41"/>
      <c r="E417" s="29">
        <f>4.6615</f>
        <v>4.6615000000000002</v>
      </c>
      <c r="F417" s="29">
        <f>309.429</f>
        <v>309.42899999999997</v>
      </c>
      <c r="G417" s="96"/>
      <c r="H417" s="29">
        <f>344.968</f>
        <v>344.96800000000002</v>
      </c>
      <c r="I417" s="149"/>
      <c r="J417" s="129"/>
    </row>
    <row r="418" spans="1:10" ht="14.1" customHeight="1" x14ac:dyDescent="0.25">
      <c r="A418" s="217"/>
      <c r="B418" s="71"/>
      <c r="C418" s="28" t="s">
        <v>11</v>
      </c>
      <c r="D418" s="220"/>
      <c r="E418" s="29">
        <f>1.8982</f>
        <v>1.8982000000000001</v>
      </c>
      <c r="F418" s="29">
        <f>110.23094</f>
        <v>110.23094</v>
      </c>
      <c r="G418" s="107"/>
      <c r="H418" s="29">
        <f>113.4558</f>
        <v>113.4558</v>
      </c>
      <c r="I418" s="149"/>
      <c r="J418" s="129"/>
    </row>
    <row r="419" spans="1:10" ht="14.1" customHeight="1" x14ac:dyDescent="0.25">
      <c r="A419" s="217"/>
      <c r="B419" s="71"/>
      <c r="C419" s="264" t="s">
        <v>112</v>
      </c>
      <c r="D419" s="10">
        <v>893</v>
      </c>
      <c r="E419" s="35">
        <f>SUM(E420:E421)</f>
        <v>0</v>
      </c>
      <c r="F419" s="35">
        <f>SUM(F420:F421)</f>
        <v>0</v>
      </c>
      <c r="G419" s="84">
        <f>D419-F419</f>
        <v>893</v>
      </c>
      <c r="H419" s="35">
        <f>SUM(H420:H421)</f>
        <v>0</v>
      </c>
      <c r="I419" s="149"/>
      <c r="J419" s="129"/>
    </row>
    <row r="420" spans="1:10" ht="14.1" customHeight="1" x14ac:dyDescent="0.25">
      <c r="A420" s="217"/>
      <c r="B420" s="71"/>
      <c r="C420" s="28" t="s">
        <v>8</v>
      </c>
      <c r="D420" s="41"/>
      <c r="E420" s="29">
        <f>0</f>
        <v>0</v>
      </c>
      <c r="F420" s="29">
        <f>0</f>
        <v>0</v>
      </c>
      <c r="G420" s="96"/>
      <c r="H420" s="29">
        <f>0</f>
        <v>0</v>
      </c>
      <c r="I420" s="149"/>
      <c r="J420" s="129"/>
    </row>
    <row r="421" spans="1:10" ht="14.1" customHeight="1" x14ac:dyDescent="0.25">
      <c r="A421" s="217"/>
      <c r="B421" s="71"/>
      <c r="C421" s="28" t="s">
        <v>11</v>
      </c>
      <c r="D421" s="220"/>
      <c r="E421" s="29">
        <f>0</f>
        <v>0</v>
      </c>
      <c r="F421" s="29">
        <f>0</f>
        <v>0</v>
      </c>
      <c r="G421" s="107"/>
      <c r="H421" s="29">
        <f>0</f>
        <v>0</v>
      </c>
      <c r="I421" s="149"/>
      <c r="J421" s="129"/>
    </row>
    <row r="422" spans="1:10" ht="14.1" customHeight="1" x14ac:dyDescent="0.25">
      <c r="A422" s="217"/>
      <c r="B422" s="71"/>
      <c r="C422" s="278" t="s">
        <v>95</v>
      </c>
      <c r="D422" s="36"/>
      <c r="E422" s="93">
        <f>0</f>
        <v>0</v>
      </c>
      <c r="F422" s="93">
        <f>0</f>
        <v>0</v>
      </c>
      <c r="G422" s="93">
        <f>D422-F422</f>
        <v>0</v>
      </c>
      <c r="H422" s="93">
        <f>0</f>
        <v>0</v>
      </c>
      <c r="I422" s="149"/>
      <c r="J422" s="129"/>
    </row>
    <row r="423" spans="1:10" ht="14.1" customHeight="1" x14ac:dyDescent="0.25">
      <c r="A423" s="217"/>
      <c r="B423" s="71"/>
      <c r="C423" s="284" t="s">
        <v>87</v>
      </c>
      <c r="D423" s="38">
        <f>D413+D416+D419</f>
        <v>2681</v>
      </c>
      <c r="E423" s="39">
        <f>E413+E416+E419+E422</f>
        <v>6.5597000000000003</v>
      </c>
      <c r="F423" s="39">
        <f>F413+F416+F419+F422</f>
        <v>1442.86582</v>
      </c>
      <c r="G423" s="40">
        <f>D423-F423</f>
        <v>1238.13418</v>
      </c>
      <c r="H423" s="39">
        <f>H413+H416+H419+H422</f>
        <v>1446.82503</v>
      </c>
      <c r="I423" s="26"/>
      <c r="J423" s="129"/>
    </row>
    <row r="424" spans="1:10" ht="42" customHeight="1" x14ac:dyDescent="0.25">
      <c r="A424" s="217"/>
      <c r="B424" s="71"/>
      <c r="C424" s="300" t="s">
        <v>117</v>
      </c>
      <c r="D424" s="300"/>
      <c r="E424" s="300"/>
      <c r="F424" s="300"/>
      <c r="G424" s="300"/>
      <c r="H424" s="300"/>
      <c r="I424" s="300"/>
      <c r="J424" s="301"/>
    </row>
    <row r="425" spans="1:10" ht="14.1" customHeight="1" thickBot="1" x14ac:dyDescent="0.3">
      <c r="A425" s="217"/>
      <c r="B425" s="8"/>
      <c r="C425" s="209"/>
      <c r="D425" s="198"/>
      <c r="E425" s="209"/>
      <c r="F425" s="209"/>
      <c r="G425" s="209"/>
      <c r="H425" s="209"/>
      <c r="I425" s="209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thickTop="1" x14ac:dyDescent="0.2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52
&amp;R26.02.2025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2025-03-25T08:30:26Z</dcterms:modified>
</cp:coreProperties>
</file>