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2435" tabRatio="413"/>
  </bookViews>
  <sheets>
    <sheet name="UKE_40_2016" sheetId="1" r:id="rId1"/>
  </sheets>
  <definedNames>
    <definedName name="Z_14D440E4_F18A_4F78_9989_38C1B133222D_.wvu.Cols" localSheetId="0" hidden="1">UKE_40_2016!#REF!</definedName>
    <definedName name="Z_14D440E4_F18A_4F78_9989_38C1B133222D_.wvu.PrintArea" localSheetId="0" hidden="1">UKE_40_2016!$B$1:$M$213</definedName>
    <definedName name="Z_14D440E4_F18A_4F78_9989_38C1B133222D_.wvu.Rows" localSheetId="0" hidden="1">UKE_40_2016!$325:$1048576,UKE_40_2016!$214:$324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30" i="1" l="1"/>
  <c r="E130" i="1"/>
  <c r="F33" i="1" l="1"/>
  <c r="F32" i="1" s="1"/>
  <c r="F24" i="1" s="1"/>
  <c r="F40" i="1" s="1"/>
  <c r="G33" i="1"/>
  <c r="G32" i="1" s="1"/>
  <c r="F21" i="1"/>
  <c r="G21" i="1"/>
  <c r="J21" i="1"/>
  <c r="I22" i="1"/>
  <c r="I23" i="1"/>
  <c r="I21" i="1" s="1"/>
  <c r="F25" i="1"/>
  <c r="G25" i="1"/>
  <c r="J25" i="1"/>
  <c r="J24" i="1" s="1"/>
  <c r="J40" i="1" s="1"/>
  <c r="I26" i="1"/>
  <c r="I25" i="1" s="1"/>
  <c r="I27" i="1"/>
  <c r="I28" i="1"/>
  <c r="I29" i="1"/>
  <c r="G30" i="1"/>
  <c r="I30" i="1"/>
  <c r="I31" i="1"/>
  <c r="J32" i="1"/>
  <c r="G34" i="1"/>
  <c r="I34" i="1"/>
  <c r="I35" i="1"/>
  <c r="I36" i="1"/>
  <c r="I37" i="1"/>
  <c r="I38" i="1"/>
  <c r="I39" i="1"/>
  <c r="H40" i="1"/>
  <c r="I33" i="1" l="1"/>
  <c r="I32" i="1" s="1"/>
  <c r="I24" i="1" s="1"/>
  <c r="I40" i="1" s="1"/>
  <c r="G24" i="1"/>
  <c r="G40" i="1" s="1"/>
  <c r="E96" i="1"/>
  <c r="E95" i="1"/>
  <c r="E93" i="1"/>
  <c r="E92" i="1"/>
  <c r="E91" i="1"/>
  <c r="E90" i="1"/>
  <c r="E86" i="1"/>
  <c r="E33" i="1"/>
  <c r="E31" i="1"/>
  <c r="E30" i="1"/>
  <c r="E29" i="1"/>
  <c r="E28" i="1"/>
  <c r="E27" i="1"/>
  <c r="E26" i="1"/>
  <c r="E22" i="1"/>
  <c r="E210" i="1" l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H89" i="1" l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F84" i="1" l="1"/>
  <c r="F88" i="1" l="1"/>
  <c r="G88" i="1"/>
  <c r="G157" i="1" l="1"/>
  <c r="H130" i="1" l="1"/>
  <c r="H210" i="1" l="1"/>
  <c r="F210" i="1" l="1"/>
  <c r="E185" i="1"/>
  <c r="F185" i="1"/>
  <c r="H185" i="1" l="1"/>
  <c r="H66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D21" i="1"/>
  <c r="D14" i="1"/>
  <c r="I100" i="1" l="1"/>
  <c r="H138" i="1"/>
  <c r="G177" i="1"/>
  <c r="G188" i="1" s="1"/>
  <c r="D124" i="1"/>
  <c r="D138" i="1" s="1"/>
  <c r="D100" i="1"/>
  <c r="G160" i="1"/>
  <c r="D24" i="1"/>
  <c r="D40" i="1" s="1"/>
  <c r="G119" i="1"/>
  <c r="G125" i="1"/>
  <c r="F124" i="1"/>
  <c r="F138" i="1" s="1"/>
  <c r="G124" i="1" l="1"/>
  <c r="G138" i="1" s="1"/>
  <c r="E138" i="1" l="1"/>
</calcChain>
</file>

<file path=xl/sharedStrings.xml><?xml version="1.0" encoding="utf-8"?>
<sst xmlns="http://schemas.openxmlformats.org/spreadsheetml/2006/main" count="227" uniqueCount="112">
  <si>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</si>
  <si>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</si>
  <si>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</si>
  <si>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</si>
  <si>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</si>
  <si>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</si>
  <si>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</si>
  <si>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</si>
  <si>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</si>
  <si>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</si>
  <si>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</si>
  <si>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</si>
  <si>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</si>
  <si>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</si>
  <si>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</si>
  <si>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</si>
  <si>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</si>
  <si>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</si>
  <si>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</si>
  <si>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</si>
  <si>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</si>
  <si>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</si>
  <si>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</si>
  <si>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</si>
  <si>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</si>
  <si>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</si>
  <si>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</si>
  <si>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</si>
  <si>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</si>
  <si>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</si>
  <si>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</si>
  <si>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</si>
  <si>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</si>
  <si>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</si>
  <si>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</si>
  <si>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</si>
  <si>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</si>
  <si>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</si>
  <si>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</si>
  <si>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</si>
  <si>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</si>
  <si>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</si>
  <si>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</si>
  <si>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</si>
  <si>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</si>
  <si>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</si>
  <si>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</si>
  <si>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</si>
  <si>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</si>
  <si>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</si>
  <si>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</si>
  <si>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</si>
  <si>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</si>
  <si>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</si>
  <si>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</si>
  <si>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</si>
  <si>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</si>
  <si>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</si>
  <si>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</si>
  <si>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</si>
  <si>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</si>
  <si>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</si>
  <si>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</si>
  <si>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</si>
  <si>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</si>
  <si>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</si>
  <si>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</si>
  <si>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</si>
  <si>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</si>
  <si>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</si>
  <si>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</si>
  <si>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</si>
  <si>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</si>
  <si>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</si>
  <si>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</si>
  <si>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</si>
  <si>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</si>
  <si>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</si>
  <si>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</si>
  <si>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</si>
  <si>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</si>
  <si>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</si>
  <si>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</si>
  <si>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</si>
  <si>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</si>
  <si>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</si>
  <si>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</si>
  <si>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</si>
  <si>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</si>
  <si>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</si>
  <si>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</si>
  <si>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</si>
  <si>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</si>
  <si>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</si>
  <si>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</si>
  <si>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</si>
  <si>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</si>
  <si>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</si>
  <si>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</si>
  <si>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</si>
  <si>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</si>
  <si>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2</t>
    </r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</si>
  <si>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</si>
  <si>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</si>
  <si>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r>
      <t>2</t>
    </r>
    <r>
      <rPr>
        <sz val="9"/>
        <color theme="1"/>
        <rFont val="Calibri"/>
        <family val="2"/>
      </rPr>
      <t xml:space="preserve"> Registrert rekreasjonsfiske utgjør 418 tonn, men det legges til grunn at hele avsetningen tas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</si>
  <si>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16 278 tonn av ubenyttet tredjelandskvantum er overført til norsk kvote. Norsk kvote blir da 417 518 tonn.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</si>
  <si>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3 694 tonn av ubenyttet tredjelandskvantum er overført til norsk kvote. Norsk kvote blir da 122 394 tonn. </t>
    </r>
  </si>
  <si>
    <t>LANDET KVANTUM UKE 40</t>
  </si>
  <si>
    <t>LANDET KVANTUM T.O.M UKE 40</t>
  </si>
  <si>
    <t>LANDET KVANTUM T.O.M. UKE 40 2015</t>
  </si>
  <si>
    <r>
      <t xml:space="preserve">3 </t>
    </r>
    <r>
      <rPr>
        <sz val="9"/>
        <color theme="1"/>
        <rFont val="Calibri"/>
        <family val="2"/>
      </rPr>
      <t>Registrert rekreasjonsfiske utgjør 1109 tonn, men det legges til grunn at hele avsetningen tas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</si>
  <si>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60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</si>
</sst>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9" fillId="0" borderId="0" xfId="0" applyFont="1" applyFill="1" applyBorder="1" applyAlignment="1">
      <alignment vertical="center"/>
    </xf>
    <xf numFmtId="0" fontId="61" fillId="4" borderId="50" xfId="0" applyFont="1" applyFill="1" applyBorder="1" applyAlignment="1">
      <alignment horizontal="center" vertical="center"/>
    </xf>
    <xf numFmtId="0" fontId="61" fillId="4" borderId="31" xfId="0" applyFont="1" applyFill="1" applyBorder="1" applyAlignment="1">
      <alignment horizontal="center" vertical="center" wrapText="1"/>
    </xf>
    <xf numFmtId="3" fontId="43" fillId="0" borderId="68" xfId="0" applyNumberFormat="1" applyFont="1" applyFill="1" applyBorder="1" applyAlignment="1">
      <alignment vertical="center" wrapText="1"/>
    </xf>
    <xf numFmtId="3" fontId="43" fillId="0" borderId="69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1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2" fillId="0" borderId="62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1" xfId="0" applyNumberFormat="1" applyFont="1" applyFill="1" applyBorder="1" applyAlignment="1">
      <alignment vertical="center" wrapText="1"/>
    </xf>
    <xf numFmtId="3" fontId="64" fillId="0" borderId="66" xfId="0" applyNumberFormat="1" applyFont="1" applyFill="1" applyBorder="1" applyAlignment="1">
      <alignment vertical="center" wrapText="1"/>
    </xf>
    <xf numFmtId="3" fontId="64" fillId="0" borderId="61" xfId="0" applyNumberFormat="1" applyFont="1" applyFill="1" applyBorder="1" applyAlignment="1">
      <alignment vertical="center" wrapText="1"/>
    </xf>
    <xf numFmtId="3" fontId="64" fillId="0" borderId="67" xfId="0" applyNumberFormat="1" applyFont="1" applyFill="1" applyBorder="1" applyAlignment="1">
      <alignment vertical="center" wrapText="1"/>
    </xf>
    <xf numFmtId="3" fontId="64" fillId="0" borderId="62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1" fillId="4" borderId="50" xfId="0" applyNumberFormat="1" applyFont="1" applyFill="1" applyBorder="1" applyAlignment="1">
      <alignment vertical="center" wrapText="1"/>
    </xf>
    <xf numFmtId="3" fontId="61" fillId="4" borderId="31" xfId="0" applyNumberFormat="1" applyFont="1" applyFill="1" applyBorder="1" applyAlignment="1">
      <alignment vertical="center" wrapText="1"/>
    </xf>
    <xf numFmtId="0" fontId="59" fillId="0" borderId="0" xfId="0" applyFont="1" applyFill="1" applyAlignment="1">
      <alignment vertical="center"/>
    </xf>
    <xf numFmtId="0" fontId="61" fillId="4" borderId="16" xfId="0" applyFont="1" applyFill="1" applyBorder="1" applyAlignment="1">
      <alignment horizontal="center" vertical="center" wrapText="1"/>
    </xf>
    <xf numFmtId="3" fontId="43" fillId="0" borderId="72" xfId="0" applyNumberFormat="1" applyFont="1" applyFill="1" applyBorder="1" applyAlignment="1">
      <alignment vertical="center" wrapText="1"/>
    </xf>
    <xf numFmtId="3" fontId="43" fillId="0" borderId="74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63" fillId="0" borderId="62" xfId="0" applyNumberFormat="1" applyFont="1" applyFill="1" applyBorder="1" applyAlignment="1">
      <alignment vertical="center" wrapText="1"/>
    </xf>
    <xf numFmtId="3" fontId="61" fillId="4" borderId="55" xfId="0" applyNumberFormat="1" applyFont="1" applyFill="1" applyBorder="1" applyAlignment="1">
      <alignment vertical="center" wrapText="1"/>
    </xf>
    <xf numFmtId="3" fontId="43" fillId="0" borderId="73" xfId="0" applyNumberFormat="1" applyFont="1" applyFill="1" applyBorder="1" applyAlignment="1">
      <alignment vertical="center" wrapText="1"/>
    </xf>
    <xf numFmtId="3" fontId="62" fillId="0" borderId="70" xfId="0" applyNumberFormat="1" applyFont="1" applyFill="1" applyBorder="1" applyAlignment="1">
      <alignment vertical="center" wrapText="1"/>
    </xf>
    <xf numFmtId="3" fontId="62" fillId="0" borderId="71" xfId="0" applyNumberFormat="1" applyFont="1" applyFill="1" applyBorder="1" applyAlignment="1">
      <alignment vertical="center" wrapText="1"/>
    </xf>
    <xf numFmtId="3" fontId="63" fillId="0" borderId="70" xfId="0" applyNumberFormat="1" applyFont="1" applyFill="1" applyBorder="1" applyAlignment="1">
      <alignment vertical="center" wrapText="1"/>
    </xf>
    <xf numFmtId="3" fontId="64" fillId="0" borderId="70" xfId="0" applyNumberFormat="1" applyFont="1" applyFill="1" applyBorder="1" applyAlignment="1">
      <alignment vertical="center" wrapText="1"/>
    </xf>
    <xf numFmtId="3" fontId="64" fillId="0" borderId="71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63" fillId="0" borderId="71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85" zoomScaleNormal="115" zoomScalePageLayoutView="85" workbookViewId="0">
      <selection activeCell="H34" sqref="H34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392" t="s">
        <v>85</v>
      </c>
      <c r="C2" s="393"/>
      <c r="D2" s="393"/>
      <c r="E2" s="393"/>
      <c r="F2" s="393"/>
      <c r="G2" s="393"/>
      <c r="H2" s="393"/>
      <c r="I2" s="393"/>
      <c r="J2" s="393"/>
      <c r="K2" s="394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83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95"/>
      <c r="C7" s="396"/>
      <c r="D7" s="396"/>
      <c r="E7" s="396"/>
      <c r="F7" s="396"/>
      <c r="G7" s="396"/>
      <c r="H7" s="396"/>
      <c r="I7" s="396"/>
      <c r="J7" s="396"/>
      <c r="K7" s="397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98" t="s">
        <v>2</v>
      </c>
      <c r="D9" s="399"/>
      <c r="E9" s="398" t="s">
        <v>20</v>
      </c>
      <c r="F9" s="399"/>
      <c r="G9" s="398" t="s">
        <v>21</v>
      </c>
      <c r="H9" s="399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69">
        <v>130856</v>
      </c>
      <c r="G10" s="172" t="s">
        <v>26</v>
      </c>
      <c r="H10" s="269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80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3"/>
      <c r="F13" s="264"/>
      <c r="G13" s="174" t="s">
        <v>15</v>
      </c>
      <c r="H13" s="270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357" t="s">
        <v>105</v>
      </c>
      <c r="D15" s="357"/>
      <c r="E15" s="357"/>
      <c r="F15" s="357"/>
      <c r="G15" s="357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86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2"/>
      <c r="D17" s="262"/>
      <c r="E17" s="262"/>
      <c r="F17" s="262"/>
      <c r="G17" s="262"/>
      <c r="H17" s="262"/>
      <c r="I17" s="262"/>
      <c r="J17" s="213"/>
      <c r="K17" s="133"/>
      <c r="L17" s="124"/>
      <c r="M17" s="124"/>
    </row>
    <row r="18" spans="1:13" ht="21.75" customHeight="1" x14ac:dyDescent="0.25">
      <c r="B18" s="400" t="s">
        <v>8</v>
      </c>
      <c r="C18" s="401"/>
      <c r="D18" s="401"/>
      <c r="E18" s="401"/>
      <c r="F18" s="401"/>
      <c r="G18" s="401"/>
      <c r="H18" s="401"/>
      <c r="I18" s="401"/>
      <c r="J18" s="401"/>
      <c r="K18" s="402"/>
      <c r="L18" s="219"/>
      <c r="M18" s="219"/>
    </row>
    <row r="19" spans="1:13" ht="12" customHeight="1" thickBot="1" x14ac:dyDescent="0.3">
      <c r="B19" s="125"/>
      <c r="C19" s="265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358" t="s">
        <v>20</v>
      </c>
      <c r="E20" s="359" t="s">
        <v>96</v>
      </c>
      <c r="F20" s="207" t="s">
        <v>107</v>
      </c>
      <c r="G20" s="207" t="s">
        <v>108</v>
      </c>
      <c r="H20" s="207" t="s">
        <v>97</v>
      </c>
      <c r="I20" s="207" t="s">
        <v>74</v>
      </c>
      <c r="J20" s="208" t="s">
        <v>109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360">
        <f>D23+D22</f>
        <v>132928</v>
      </c>
      <c r="E21" s="361">
        <f>E23+E22</f>
        <v>133880</v>
      </c>
      <c r="F21" s="361">
        <f>F23+F22</f>
        <v>2411.2514999999999</v>
      </c>
      <c r="G21" s="361">
        <f>G22+G23</f>
        <v>90084.497799999997</v>
      </c>
      <c r="H21" s="361"/>
      <c r="I21" s="361">
        <f>I23+I22</f>
        <v>43795.502200000003</v>
      </c>
      <c r="J21" s="383">
        <f>J23+J22</f>
        <v>79102.499899999995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362">
        <v>132178</v>
      </c>
      <c r="E22" s="363">
        <f>D22+1122-170</f>
        <v>133130</v>
      </c>
      <c r="F22" s="363">
        <v>2404.8285000000001</v>
      </c>
      <c r="G22" s="363">
        <v>89165.438699999999</v>
      </c>
      <c r="H22" s="363"/>
      <c r="I22" s="363">
        <f>E22-G22</f>
        <v>43964.561300000001</v>
      </c>
      <c r="J22" s="384">
        <v>77972.737299999993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364">
        <v>750</v>
      </c>
      <c r="E23" s="365">
        <v>750</v>
      </c>
      <c r="F23" s="365">
        <v>6.423</v>
      </c>
      <c r="G23" s="365">
        <v>919.05909999999994</v>
      </c>
      <c r="H23" s="365"/>
      <c r="I23" s="365">
        <f>E23-G23</f>
        <v>-169.05909999999994</v>
      </c>
      <c r="J23" s="385">
        <v>1129.7626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360">
        <f>D32+D31+D25</f>
        <v>269883</v>
      </c>
      <c r="E24" s="361">
        <f>E32+E31+E25</f>
        <v>263310</v>
      </c>
      <c r="F24" s="361">
        <f>F32+F31+F25</f>
        <v>409.76240000000001</v>
      </c>
      <c r="G24" s="361">
        <f>G25+G31+G32</f>
        <v>232328.71854999996</v>
      </c>
      <c r="H24" s="361"/>
      <c r="I24" s="361">
        <f>I25+I31+I32</f>
        <v>30981.281450000002</v>
      </c>
      <c r="J24" s="383">
        <f>J25+J31+J32</f>
        <v>249558.07695000002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366">
        <f>D26+D27+D28+D29+D30</f>
        <v>209662</v>
      </c>
      <c r="E25" s="367">
        <f>E26+E27+E28+E29+E30</f>
        <v>203462</v>
      </c>
      <c r="F25" s="367">
        <f>F26+F27+F28+F29</f>
        <v>370.72919999999999</v>
      </c>
      <c r="G25" s="367">
        <f>G26+G27+G28+G29</f>
        <v>186263.25374999997</v>
      </c>
      <c r="H25" s="367"/>
      <c r="I25" s="367">
        <f>I26+I27+I28+I29+I30</f>
        <v>17198.746249999997</v>
      </c>
      <c r="J25" s="386">
        <f>J26+J27+J28+J29+J30</f>
        <v>205380.09685000003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368">
        <v>53216</v>
      </c>
      <c r="E26" s="369">
        <f>D26-5951-75</f>
        <v>47190</v>
      </c>
      <c r="F26" s="369">
        <v>54.029899999999998</v>
      </c>
      <c r="G26" s="369">
        <v>48263.389000000003</v>
      </c>
      <c r="H26" s="369">
        <v>1318</v>
      </c>
      <c r="I26" s="369">
        <f>E26-G26+H26</f>
        <v>244.61099999999715</v>
      </c>
      <c r="J26" s="387">
        <v>62651.258500000004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368">
        <v>51118</v>
      </c>
      <c r="E27" s="369">
        <f>D27-980-71</f>
        <v>50067</v>
      </c>
      <c r="F27" s="369">
        <v>90.658699999999996</v>
      </c>
      <c r="G27" s="369">
        <v>50224.153599999998</v>
      </c>
      <c r="H27" s="369">
        <v>1763</v>
      </c>
      <c r="I27" s="369">
        <f>E27-G27+H27</f>
        <v>1605.8464000000022</v>
      </c>
      <c r="J27" s="387">
        <v>54268.3485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368">
        <v>52812</v>
      </c>
      <c r="E28" s="369">
        <f>D28+2727-74</f>
        <v>55465</v>
      </c>
      <c r="F28" s="369">
        <v>130.0016</v>
      </c>
      <c r="G28" s="369">
        <v>51181.36825</v>
      </c>
      <c r="H28" s="369">
        <v>2889</v>
      </c>
      <c r="I28" s="369">
        <f>E28-G28+H28</f>
        <v>7172.6317500000005</v>
      </c>
      <c r="J28" s="387">
        <v>51671.651850000002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368">
        <v>35316</v>
      </c>
      <c r="E29" s="369">
        <f>D29+161-49</f>
        <v>35428</v>
      </c>
      <c r="F29" s="369">
        <v>96.039000000000001</v>
      </c>
      <c r="G29" s="369">
        <v>36594.342900000003</v>
      </c>
      <c r="H29" s="369">
        <v>1869</v>
      </c>
      <c r="I29" s="369">
        <f>E29-G29+H29</f>
        <v>702.65709999999672</v>
      </c>
      <c r="J29" s="387">
        <v>36788.838000000003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368">
        <v>17200</v>
      </c>
      <c r="E30" s="369">
        <f>D30-1888</f>
        <v>15312</v>
      </c>
      <c r="F30" s="369">
        <v>229</v>
      </c>
      <c r="G30" s="369">
        <f>H26+H27+H28+H29</f>
        <v>7839</v>
      </c>
      <c r="H30" s="369"/>
      <c r="I30" s="369">
        <f>E30-G30</f>
        <v>7473</v>
      </c>
      <c r="J30" s="387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366">
        <v>34572</v>
      </c>
      <c r="E31" s="367">
        <f>D31-113-44</f>
        <v>34415</v>
      </c>
      <c r="F31" s="367">
        <v>0</v>
      </c>
      <c r="G31" s="367">
        <v>18832.725999999999</v>
      </c>
      <c r="H31" s="367"/>
      <c r="I31" s="367">
        <f>E31-G31</f>
        <v>15582.274000000001</v>
      </c>
      <c r="J31" s="386">
        <v>17666.332600000002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366">
        <f>D33+D34</f>
        <v>25649</v>
      </c>
      <c r="E32" s="367">
        <f>E33+E34</f>
        <v>25433</v>
      </c>
      <c r="F32" s="367">
        <f>F33</f>
        <v>39.033200000000001</v>
      </c>
      <c r="G32" s="367">
        <f>G33</f>
        <v>27232.738799999999</v>
      </c>
      <c r="H32" s="367"/>
      <c r="I32" s="367">
        <f>I33+I34</f>
        <v>-1799.7387999999992</v>
      </c>
      <c r="J32" s="386">
        <f>J33</f>
        <v>26511.647499999999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368">
        <v>23549</v>
      </c>
      <c r="E33" s="369">
        <f>D33-183-33</f>
        <v>23333</v>
      </c>
      <c r="F33" s="369">
        <f>40.0332-F37</f>
        <v>39.033200000000001</v>
      </c>
      <c r="G33" s="369">
        <f>29668.7388-G37</f>
        <v>27232.738799999999</v>
      </c>
      <c r="H33" s="369">
        <v>952</v>
      </c>
      <c r="I33" s="369">
        <f>E33-G33+H33</f>
        <v>-2947.7387999999992</v>
      </c>
      <c r="J33" s="387">
        <v>26511.647499999999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370">
        <v>2100</v>
      </c>
      <c r="E34" s="371">
        <v>2100</v>
      </c>
      <c r="F34" s="371">
        <v>27</v>
      </c>
      <c r="G34" s="371">
        <f>H33</f>
        <v>952</v>
      </c>
      <c r="H34" s="371"/>
      <c r="I34" s="371">
        <f t="shared" ref="I34:I39" si="0">E34-G34</f>
        <v>1148</v>
      </c>
      <c r="J34" s="388"/>
      <c r="K34" s="134"/>
      <c r="L34" s="163"/>
      <c r="M34" s="163"/>
    </row>
    <row r="35" spans="1:13" ht="15.75" customHeight="1" thickBot="1" x14ac:dyDescent="0.3">
      <c r="B35" s="125"/>
      <c r="C35" s="186" t="s">
        <v>80</v>
      </c>
      <c r="D35" s="372">
        <v>4000</v>
      </c>
      <c r="E35" s="373">
        <v>4000</v>
      </c>
      <c r="F35" s="373">
        <v>0</v>
      </c>
      <c r="G35" s="373">
        <v>3291.68905</v>
      </c>
      <c r="H35" s="373"/>
      <c r="I35" s="373">
        <f t="shared" si="0"/>
        <v>708.31095000000005</v>
      </c>
      <c r="J35" s="389">
        <v>2873.7114499999998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372">
        <v>707</v>
      </c>
      <c r="E36" s="373">
        <v>707</v>
      </c>
      <c r="F36" s="373">
        <v>0</v>
      </c>
      <c r="G36" s="373">
        <v>386.75540000000001</v>
      </c>
      <c r="H36" s="373"/>
      <c r="I36" s="373">
        <f t="shared" si="0"/>
        <v>320.24459999999999</v>
      </c>
      <c r="J36" s="389">
        <v>247.89789999999999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81</v>
      </c>
      <c r="D37" s="372">
        <v>3000</v>
      </c>
      <c r="E37" s="373">
        <v>3000</v>
      </c>
      <c r="F37" s="373">
        <v>1</v>
      </c>
      <c r="G37" s="373">
        <v>2436</v>
      </c>
      <c r="H37" s="373"/>
      <c r="I37" s="373">
        <f t="shared" si="0"/>
        <v>564</v>
      </c>
      <c r="J37" s="389"/>
      <c r="K37" s="134"/>
      <c r="L37" s="163"/>
      <c r="M37" s="163"/>
    </row>
    <row r="38" spans="1:13" ht="17.25" customHeight="1" thickBot="1" x14ac:dyDescent="0.3">
      <c r="B38" s="125"/>
      <c r="C38" s="186" t="s">
        <v>82</v>
      </c>
      <c r="D38" s="372">
        <v>7000</v>
      </c>
      <c r="E38" s="373">
        <v>7000</v>
      </c>
      <c r="F38" s="373">
        <v>3.4531000000000001</v>
      </c>
      <c r="G38" s="373">
        <v>7000</v>
      </c>
      <c r="H38" s="373"/>
      <c r="I38" s="373">
        <f t="shared" si="0"/>
        <v>0</v>
      </c>
      <c r="J38" s="38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372"/>
      <c r="E39" s="373"/>
      <c r="F39" s="373"/>
      <c r="G39" s="373">
        <v>679</v>
      </c>
      <c r="H39" s="373"/>
      <c r="I39" s="373">
        <f t="shared" si="0"/>
        <v>-679</v>
      </c>
      <c r="J39" s="389">
        <v>561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374">
        <f>D21+D24+D35+D36+D37+D38+D39</f>
        <v>417518</v>
      </c>
      <c r="E40" s="375">
        <f>E21+E24+E35+E36+E37+E38+E39</f>
        <v>411897</v>
      </c>
      <c r="F40" s="210">
        <f>F21+F24+F35+F36+F37+F38+F39</f>
        <v>2825.4670000000001</v>
      </c>
      <c r="G40" s="210">
        <f>G21+G24+G35+G36+G37+G38+G39</f>
        <v>336206.66079999995</v>
      </c>
      <c r="H40" s="210">
        <f>H26+H27+H28+H29+H33</f>
        <v>8791</v>
      </c>
      <c r="I40" s="210">
        <f>I21+I24+I35+I36+I37+I38+I39</f>
        <v>75690.339200000002</v>
      </c>
      <c r="J40" s="222">
        <f>J21+J24+J35+J36+J37+J38+J39</f>
        <v>339343.1862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99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110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95" t="s">
        <v>1</v>
      </c>
      <c r="C47" s="396"/>
      <c r="D47" s="396"/>
      <c r="E47" s="396"/>
      <c r="F47" s="396"/>
      <c r="G47" s="396"/>
      <c r="H47" s="396"/>
      <c r="I47" s="396"/>
      <c r="J47" s="396"/>
      <c r="K47" s="397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415" t="s">
        <v>2</v>
      </c>
      <c r="D49" s="416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3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3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3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3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4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400" t="s">
        <v>8</v>
      </c>
      <c r="C55" s="401"/>
      <c r="D55" s="401"/>
      <c r="E55" s="401"/>
      <c r="F55" s="401"/>
      <c r="G55" s="401"/>
      <c r="H55" s="401"/>
      <c r="I55" s="401"/>
      <c r="J55" s="401"/>
      <c r="K55" s="402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40</v>
      </c>
      <c r="F56" s="207" t="str">
        <f>G20</f>
        <v>LANDET KVANTUM T.O.M UKE 40</v>
      </c>
      <c r="G56" s="207" t="str">
        <f>I20</f>
        <v>RESTKVOTER</v>
      </c>
      <c r="H56" s="208" t="str">
        <f>J20</f>
        <v>LANDET KVANTUM T.O.M. UKE 40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407"/>
      <c r="E57" s="353">
        <v>4.2873000000000001</v>
      </c>
      <c r="F57" s="353">
        <v>1440.4567</v>
      </c>
      <c r="G57" s="412"/>
      <c r="H57" s="355">
        <v>1375.7036000000001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408"/>
      <c r="E58" s="353">
        <v>0</v>
      </c>
      <c r="F58" s="353">
        <v>1111.7039</v>
      </c>
      <c r="G58" s="413"/>
      <c r="H58" s="355">
        <v>990.75170000000003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98</v>
      </c>
      <c r="D59" s="409"/>
      <c r="E59" s="354"/>
      <c r="F59" s="354">
        <v>112.247</v>
      </c>
      <c r="G59" s="414"/>
      <c r="H59" s="356">
        <v>94.360200000000006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4.0019999999999998</v>
      </c>
      <c r="F60" s="250">
        <f>F61+F62+F63</f>
        <v>6711.5554000000002</v>
      </c>
      <c r="G60" s="250">
        <f>D60-F60</f>
        <v>-111.55540000000019</v>
      </c>
      <c r="H60" s="257">
        <f>H61+H62+H63</f>
        <v>5860.8824000000004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7"/>
      <c r="E61" s="246">
        <v>0</v>
      </c>
      <c r="F61" s="246">
        <v>2729.7516999999998</v>
      </c>
      <c r="G61" s="246"/>
      <c r="H61" s="248">
        <v>2347.9783000000002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7"/>
      <c r="E62" s="246">
        <v>1.8108</v>
      </c>
      <c r="F62" s="246">
        <v>2677.8431999999998</v>
      </c>
      <c r="G62" s="246"/>
      <c r="H62" s="248">
        <v>2416.8782999999999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8"/>
      <c r="E63" s="256">
        <v>2.1911999999999998</v>
      </c>
      <c r="F63" s="256">
        <v>1303.9604999999999</v>
      </c>
      <c r="G63" s="256"/>
      <c r="H63" s="352">
        <v>1096.0257999999999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>
        <v>19.450900000000001</v>
      </c>
      <c r="G64" s="247">
        <f>D64-F64</f>
        <v>60.549099999999996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1"/>
      <c r="F65" s="261">
        <v>496</v>
      </c>
      <c r="G65" s="261"/>
      <c r="H65" s="331">
        <v>301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214">
        <f>E57+E58+E59+E60+E64+E65</f>
        <v>8.2893000000000008</v>
      </c>
      <c r="F66" s="340">
        <f>F57+F58+F59+F60+F64+F65</f>
        <v>9891.4138999999996</v>
      </c>
      <c r="G66" s="214">
        <f>D66-F66</f>
        <v>1313.5861000000004</v>
      </c>
      <c r="H66" s="222">
        <f>H57+H58+H59+H60+H64+H65</f>
        <v>8627.178100000001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410"/>
      <c r="D67" s="410"/>
      <c r="E67" s="410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95" t="s">
        <v>1</v>
      </c>
      <c r="C72" s="396"/>
      <c r="D72" s="396"/>
      <c r="E72" s="396"/>
      <c r="F72" s="396"/>
      <c r="G72" s="396"/>
      <c r="H72" s="396"/>
      <c r="I72" s="396"/>
      <c r="J72" s="396"/>
      <c r="K72" s="397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98" t="s">
        <v>2</v>
      </c>
      <c r="D74" s="399"/>
      <c r="E74" s="398" t="s">
        <v>20</v>
      </c>
      <c r="F74" s="403"/>
      <c r="G74" s="398" t="s">
        <v>21</v>
      </c>
      <c r="H74" s="399"/>
      <c r="I74" s="163"/>
      <c r="J74" s="163"/>
      <c r="K74" s="121"/>
      <c r="L74" s="142"/>
      <c r="M74" s="142"/>
    </row>
    <row r="75" spans="2:13" ht="17.25" x14ac:dyDescent="0.25">
      <c r="B75" s="275"/>
      <c r="C75" s="172" t="s">
        <v>102</v>
      </c>
      <c r="D75" s="176">
        <v>118700</v>
      </c>
      <c r="E75" s="276" t="s">
        <v>5</v>
      </c>
      <c r="F75" s="269">
        <v>45610</v>
      </c>
      <c r="G75" s="277" t="s">
        <v>26</v>
      </c>
      <c r="H75" s="269">
        <v>13395</v>
      </c>
      <c r="I75" s="173"/>
      <c r="J75" s="173"/>
      <c r="K75" s="278"/>
      <c r="L75" s="324"/>
      <c r="M75" s="142"/>
    </row>
    <row r="76" spans="2:13" ht="15" x14ac:dyDescent="0.25">
      <c r="B76" s="275"/>
      <c r="C76" s="172" t="s">
        <v>3</v>
      </c>
      <c r="D76" s="176">
        <v>109700</v>
      </c>
      <c r="E76" s="279" t="s">
        <v>6</v>
      </c>
      <c r="F76" s="176">
        <v>74417</v>
      </c>
      <c r="G76" s="277" t="s">
        <v>64</v>
      </c>
      <c r="H76" s="176">
        <v>55069</v>
      </c>
      <c r="I76" s="173"/>
      <c r="J76" s="173"/>
      <c r="K76" s="278"/>
      <c r="L76" s="324"/>
      <c r="M76" s="142"/>
    </row>
    <row r="77" spans="2:13" ht="18" thickBot="1" x14ac:dyDescent="0.3">
      <c r="B77" s="275"/>
      <c r="C77" s="172" t="s">
        <v>103</v>
      </c>
      <c r="D77" s="176">
        <v>15600</v>
      </c>
      <c r="E77" s="174"/>
      <c r="F77" s="176"/>
      <c r="G77" s="277" t="s">
        <v>65</v>
      </c>
      <c r="H77" s="176">
        <v>5953</v>
      </c>
      <c r="I77" s="173"/>
      <c r="J77" s="173"/>
      <c r="K77" s="278"/>
      <c r="L77" s="324"/>
      <c r="M77" s="142"/>
    </row>
    <row r="78" spans="2:13" ht="14.1" customHeight="1" thickBot="1" x14ac:dyDescent="0.3">
      <c r="B78" s="275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0"/>
      <c r="L78" s="283"/>
      <c r="M78" s="124"/>
    </row>
    <row r="79" spans="2:13" ht="12" customHeight="1" x14ac:dyDescent="0.25">
      <c r="B79" s="275"/>
      <c r="C79" s="376" t="s">
        <v>106</v>
      </c>
      <c r="D79" s="215"/>
      <c r="E79" s="215"/>
      <c r="F79" s="215"/>
      <c r="G79" s="215"/>
      <c r="H79" s="215"/>
      <c r="I79" s="282"/>
      <c r="J79" s="283"/>
      <c r="K79" s="280"/>
      <c r="L79" s="283"/>
      <c r="M79" s="124"/>
    </row>
    <row r="80" spans="2:13" ht="14.25" customHeight="1" x14ac:dyDescent="0.25">
      <c r="B80" s="275"/>
      <c r="C80" s="411" t="s">
        <v>87</v>
      </c>
      <c r="D80" s="411"/>
      <c r="E80" s="411"/>
      <c r="F80" s="411"/>
      <c r="G80" s="411"/>
      <c r="H80" s="411"/>
      <c r="I80" s="282"/>
      <c r="J80" s="283"/>
      <c r="K80" s="280"/>
      <c r="L80" s="283"/>
      <c r="M80" s="124"/>
    </row>
    <row r="81" spans="1:13" ht="6" customHeight="1" thickBot="1" x14ac:dyDescent="0.3">
      <c r="B81" s="275"/>
      <c r="C81" s="411"/>
      <c r="D81" s="411"/>
      <c r="E81" s="411"/>
      <c r="F81" s="411"/>
      <c r="G81" s="411"/>
      <c r="H81" s="411"/>
      <c r="I81" s="283"/>
      <c r="J81" s="283"/>
      <c r="K81" s="280"/>
      <c r="L81" s="283"/>
      <c r="M81" s="124"/>
    </row>
    <row r="82" spans="1:13" ht="14.1" customHeight="1" x14ac:dyDescent="0.25">
      <c r="B82" s="404" t="s">
        <v>8</v>
      </c>
      <c r="C82" s="405"/>
      <c r="D82" s="405"/>
      <c r="E82" s="405"/>
      <c r="F82" s="405"/>
      <c r="G82" s="405"/>
      <c r="H82" s="405"/>
      <c r="I82" s="405"/>
      <c r="J82" s="405"/>
      <c r="K82" s="406"/>
      <c r="L82" s="325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358" t="s">
        <v>20</v>
      </c>
      <c r="E84" s="377" t="s">
        <v>96</v>
      </c>
      <c r="F84" s="207" t="str">
        <f>F20</f>
        <v>LANDET KVANTUM UKE 40</v>
      </c>
      <c r="G84" s="207" t="str">
        <f>G20</f>
        <v>LANDET KVANTUM T.O.M UKE 40</v>
      </c>
      <c r="H84" s="207" t="str">
        <f>I20</f>
        <v>RESTKVOTER</v>
      </c>
      <c r="I84" s="208" t="str">
        <f>J20</f>
        <v>LANDET KVANTUM T.O.M. UKE 40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4" t="s">
        <v>16</v>
      </c>
      <c r="D85" s="360">
        <f>D87+D86</f>
        <v>46254</v>
      </c>
      <c r="E85" s="361">
        <f>E87+E86</f>
        <v>51586</v>
      </c>
      <c r="F85" s="361">
        <f>F87+F86</f>
        <v>634.45690000000002</v>
      </c>
      <c r="G85" s="361">
        <f>G86+G87</f>
        <v>39835.981900000006</v>
      </c>
      <c r="H85" s="361">
        <f>H86+H87</f>
        <v>11750.018099999998</v>
      </c>
      <c r="I85" s="383">
        <f>I86+I87</f>
        <v>26522.927299999999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362">
        <v>45504</v>
      </c>
      <c r="E86" s="363">
        <f>D86+4561+771</f>
        <v>50836</v>
      </c>
      <c r="F86" s="363">
        <v>629.02070000000003</v>
      </c>
      <c r="G86" s="363">
        <v>39546.865100000003</v>
      </c>
      <c r="H86" s="363">
        <f>E86-G86</f>
        <v>11289.134899999997</v>
      </c>
      <c r="I86" s="384">
        <v>25855.059000000001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364">
        <v>750</v>
      </c>
      <c r="E87" s="365">
        <v>750</v>
      </c>
      <c r="F87" s="365">
        <v>5.4362000000000004</v>
      </c>
      <c r="G87" s="365">
        <v>289.11680000000001</v>
      </c>
      <c r="H87" s="365">
        <f>E87-G87</f>
        <v>460.88319999999999</v>
      </c>
      <c r="I87" s="385">
        <v>667.86829999999998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378">
        <f t="shared" ref="D88:I88" si="1">D89+D95+D96</f>
        <v>75467</v>
      </c>
      <c r="E88" s="379">
        <f t="shared" si="1"/>
        <v>80624</v>
      </c>
      <c r="F88" s="379">
        <f t="shared" si="1"/>
        <v>296.95299999999997</v>
      </c>
      <c r="G88" s="379">
        <f t="shared" si="1"/>
        <v>49939.566900000005</v>
      </c>
      <c r="H88" s="379">
        <f>H89+H95+H96</f>
        <v>30684.433100000006</v>
      </c>
      <c r="I88" s="390">
        <f t="shared" si="1"/>
        <v>42937.599800000004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366">
        <f>D90+D91+D92+D93+D94</f>
        <v>55846</v>
      </c>
      <c r="E89" s="367">
        <f>E90+E91+E92+E93+E94</f>
        <v>59911</v>
      </c>
      <c r="F89" s="367">
        <f>F90+F91+F92+F93+F94</f>
        <v>238.57889999999998</v>
      </c>
      <c r="G89" s="367">
        <f>G90+G91+G92+G93+G94</f>
        <v>39988.492100000003</v>
      </c>
      <c r="H89" s="367">
        <f>H90+H91+H92+H93+H94</f>
        <v>19922.507900000004</v>
      </c>
      <c r="I89" s="386">
        <f>I90+I91+I92+I93</f>
        <v>34259.576000000001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368">
        <v>14056</v>
      </c>
      <c r="E90" s="369">
        <f>D90+1325+262</f>
        <v>15643</v>
      </c>
      <c r="F90" s="369">
        <v>109.34099999999999</v>
      </c>
      <c r="G90" s="369">
        <v>6307.1850999999997</v>
      </c>
      <c r="H90" s="369">
        <f t="shared" ref="H90:H99" si="2">E90-G90</f>
        <v>9335.8149000000012</v>
      </c>
      <c r="I90" s="387">
        <v>7619.9274999999998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368">
        <v>12960</v>
      </c>
      <c r="E91" s="369">
        <f>D91-206+242</f>
        <v>12996</v>
      </c>
      <c r="F91" s="369">
        <v>82.868399999999994</v>
      </c>
      <c r="G91" s="369">
        <v>10356.495699999999</v>
      </c>
      <c r="H91" s="369">
        <f t="shared" si="2"/>
        <v>2639.5043000000005</v>
      </c>
      <c r="I91" s="387">
        <v>10000.325500000001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368">
        <v>14705</v>
      </c>
      <c r="E92" s="369">
        <f>D92+1386+275</f>
        <v>16366</v>
      </c>
      <c r="F92" s="369">
        <v>31.137899999999998</v>
      </c>
      <c r="G92" s="369">
        <v>12187.822099999999</v>
      </c>
      <c r="H92" s="369">
        <f t="shared" si="2"/>
        <v>4178.1779000000006</v>
      </c>
      <c r="I92" s="387">
        <v>10095.665999999999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368">
        <v>8125</v>
      </c>
      <c r="E93" s="369">
        <f>D93+629+152</f>
        <v>8906</v>
      </c>
      <c r="F93" s="369">
        <v>15.2316</v>
      </c>
      <c r="G93" s="369">
        <v>11136.9892</v>
      </c>
      <c r="H93" s="369">
        <f t="shared" si="2"/>
        <v>-2230.9892</v>
      </c>
      <c r="I93" s="387">
        <v>6543.6570000000002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101</v>
      </c>
      <c r="D94" s="368">
        <v>6000</v>
      </c>
      <c r="E94" s="369">
        <v>6000</v>
      </c>
      <c r="F94" s="369"/>
      <c r="G94" s="369"/>
      <c r="H94" s="369">
        <f t="shared" si="2"/>
        <v>6000</v>
      </c>
      <c r="I94" s="387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366">
        <v>13584</v>
      </c>
      <c r="E95" s="367">
        <f>D95+261+227</f>
        <v>14072</v>
      </c>
      <c r="F95" s="367">
        <v>0</v>
      </c>
      <c r="G95" s="367">
        <v>7560.7843000000003</v>
      </c>
      <c r="H95" s="367">
        <f t="shared" si="2"/>
        <v>6511.2156999999997</v>
      </c>
      <c r="I95" s="386">
        <v>5263.1255000000001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5" t="s">
        <v>65</v>
      </c>
      <c r="D96" s="380">
        <v>6037</v>
      </c>
      <c r="E96" s="381">
        <f>D96+503+101</f>
        <v>6641</v>
      </c>
      <c r="F96" s="381">
        <v>58.374099999999999</v>
      </c>
      <c r="G96" s="381">
        <v>2390.2905000000001</v>
      </c>
      <c r="H96" s="381">
        <f t="shared" si="2"/>
        <v>4250.7094999999999</v>
      </c>
      <c r="I96" s="391">
        <v>3414.8982999999998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372">
        <v>373</v>
      </c>
      <c r="E97" s="373">
        <v>373</v>
      </c>
      <c r="F97" s="373"/>
      <c r="G97" s="373">
        <v>25.142399999999999</v>
      </c>
      <c r="H97" s="373">
        <f t="shared" si="2"/>
        <v>347.85759999999999</v>
      </c>
      <c r="I97" s="389">
        <v>35.441099999999999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82</v>
      </c>
      <c r="D98" s="372">
        <v>300</v>
      </c>
      <c r="E98" s="373">
        <v>300</v>
      </c>
      <c r="F98" s="373"/>
      <c r="G98" s="373">
        <v>300</v>
      </c>
      <c r="H98" s="373">
        <f t="shared" si="2"/>
        <v>0</v>
      </c>
      <c r="I98" s="38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88" t="s">
        <v>14</v>
      </c>
      <c r="D99" s="372"/>
      <c r="E99" s="373"/>
      <c r="F99" s="373">
        <v>2.9206000000000358</v>
      </c>
      <c r="G99" s="373">
        <v>88</v>
      </c>
      <c r="H99" s="373">
        <f t="shared" si="2"/>
        <v>-88</v>
      </c>
      <c r="I99" s="389">
        <v>70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374">
        <f t="shared" ref="D100:F100" si="3">D85+D88+D97+D98+D99</f>
        <v>122394</v>
      </c>
      <c r="E100" s="382">
        <f t="shared" si="3"/>
        <v>132883</v>
      </c>
      <c r="F100" s="237">
        <f t="shared" si="3"/>
        <v>934.33050000000003</v>
      </c>
      <c r="G100" s="237">
        <f>G85+G88+G97+G98+G99</f>
        <v>90188.691200000016</v>
      </c>
      <c r="H100" s="237">
        <f>H85+H88+H97+H98+H99</f>
        <v>42694.308800000006</v>
      </c>
      <c r="I100" s="211">
        <f>I85+I88+I97+I98+I99</f>
        <v>69865.968200000003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100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1" t="s">
        <v>111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95" t="s">
        <v>1</v>
      </c>
      <c r="C107" s="396"/>
      <c r="D107" s="396"/>
      <c r="E107" s="396"/>
      <c r="F107" s="396"/>
      <c r="G107" s="396"/>
      <c r="H107" s="396"/>
      <c r="I107" s="396"/>
      <c r="J107" s="396"/>
      <c r="K107" s="397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98" t="s">
        <v>2</v>
      </c>
      <c r="D109" s="399"/>
      <c r="E109" s="398" t="s">
        <v>20</v>
      </c>
      <c r="F109" s="399"/>
      <c r="G109" s="398" t="s">
        <v>21</v>
      </c>
      <c r="H109" s="399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69">
        <v>44900</v>
      </c>
      <c r="G110" s="172" t="s">
        <v>26</v>
      </c>
      <c r="H110" s="269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88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400" t="s">
        <v>8</v>
      </c>
      <c r="C116" s="401"/>
      <c r="D116" s="401"/>
      <c r="E116" s="401"/>
      <c r="F116" s="401"/>
      <c r="G116" s="401"/>
      <c r="H116" s="401"/>
      <c r="I116" s="401"/>
      <c r="J116" s="401"/>
      <c r="K116" s="402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40</v>
      </c>
      <c r="F118" s="207" t="str">
        <f>G20</f>
        <v>LANDET KVANTUM T.O.M UKE 40</v>
      </c>
      <c r="G118" s="207" t="str">
        <f>I20</f>
        <v>RESTKVOTER</v>
      </c>
      <c r="H118" s="208" t="str">
        <f>J20</f>
        <v>LANDET KVANTUM T.O.M. UKE 40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89" t="s">
        <v>16</v>
      </c>
      <c r="D119" s="252">
        <f>D120+D121+D122</f>
        <v>44900</v>
      </c>
      <c r="E119" s="250">
        <f>E120+E121+E122</f>
        <v>970.3854</v>
      </c>
      <c r="F119" s="250">
        <f>F120+F121+F122</f>
        <v>30858.317500000001</v>
      </c>
      <c r="G119" s="250">
        <f>G120+G121+G122</f>
        <v>14041.682499999999</v>
      </c>
      <c r="H119" s="257">
        <f>H120+H121+H122</f>
        <v>35397.173600000002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0" t="s">
        <v>12</v>
      </c>
      <c r="D120" s="271">
        <v>35920</v>
      </c>
      <c r="E120" s="254">
        <v>705.4085</v>
      </c>
      <c r="F120" s="254">
        <v>26420.080300000001</v>
      </c>
      <c r="G120" s="254">
        <f>D120-F120</f>
        <v>9499.9196999999986</v>
      </c>
      <c r="H120" s="258">
        <v>30651.331099999999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0" t="s">
        <v>11</v>
      </c>
      <c r="D121" s="271">
        <v>8480</v>
      </c>
      <c r="E121" s="254">
        <v>264.9769</v>
      </c>
      <c r="F121" s="254">
        <v>4438.2371999999996</v>
      </c>
      <c r="G121" s="254">
        <f>D121-F121</f>
        <v>4041.7628000000004</v>
      </c>
      <c r="H121" s="258">
        <v>4745.8424999999997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1" t="s">
        <v>43</v>
      </c>
      <c r="D122" s="272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2" t="s">
        <v>42</v>
      </c>
      <c r="D123" s="327">
        <v>30337</v>
      </c>
      <c r="E123" s="332">
        <v>153.131</v>
      </c>
      <c r="F123" s="332">
        <v>28209.514599999999</v>
      </c>
      <c r="G123" s="332">
        <f>D123-F123</f>
        <v>2127.4854000000014</v>
      </c>
      <c r="H123" s="336">
        <v>29035.273499999999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3" t="s">
        <v>17</v>
      </c>
      <c r="D124" s="242">
        <f>D125+D130+D133</f>
        <v>46113</v>
      </c>
      <c r="E124" s="247">
        <f>E125+E130+E133</f>
        <v>777.9239</v>
      </c>
      <c r="F124" s="247">
        <f>F133+F130+F125</f>
        <v>41456.714200000002</v>
      </c>
      <c r="G124" s="247">
        <f>D124-F124</f>
        <v>4656.2857999999978</v>
      </c>
      <c r="H124" s="249">
        <f>H125+H130+H133</f>
        <v>36702.790099999998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4" t="s">
        <v>66</v>
      </c>
      <c r="D125" s="328">
        <f>D126+D127+D128+D129</f>
        <v>34585</v>
      </c>
      <c r="E125" s="333">
        <f>E126+E127+E128+E129</f>
        <v>599.61770000000001</v>
      </c>
      <c r="F125" s="333">
        <f>F126+F127+F129+F128</f>
        <v>31853.954300000001</v>
      </c>
      <c r="G125" s="333">
        <f>G126+G127+G128+G129</f>
        <v>2731.0456999999997</v>
      </c>
      <c r="H125" s="337">
        <f>H126+H127+H128+H129</f>
        <v>26291.582399999999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5" t="s">
        <v>22</v>
      </c>
      <c r="D126" s="267">
        <v>9788</v>
      </c>
      <c r="E126" s="246">
        <v>221.73050000000001</v>
      </c>
      <c r="F126" s="246">
        <v>6026.4250000000002</v>
      </c>
      <c r="G126" s="246">
        <f t="shared" ref="G126:G129" si="4">D126-F126</f>
        <v>3761.5749999999998</v>
      </c>
      <c r="H126" s="248">
        <v>4373.7263999999996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5" t="s">
        <v>23</v>
      </c>
      <c r="D127" s="267">
        <v>8992</v>
      </c>
      <c r="E127" s="246">
        <v>66.455299999999994</v>
      </c>
      <c r="F127" s="246">
        <v>8023.0096000000003</v>
      </c>
      <c r="G127" s="246">
        <f t="shared" si="4"/>
        <v>968.99039999999968</v>
      </c>
      <c r="H127" s="248">
        <v>7223.2565000000004</v>
      </c>
      <c r="I127" s="142" t="s">
        <v>83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5" t="s">
        <v>24</v>
      </c>
      <c r="D128" s="267">
        <v>8957</v>
      </c>
      <c r="E128" s="246">
        <v>103.22709999999999</v>
      </c>
      <c r="F128" s="246">
        <v>10110.964</v>
      </c>
      <c r="G128" s="246">
        <f t="shared" si="4"/>
        <v>-1153.9639999999999</v>
      </c>
      <c r="H128" s="248">
        <v>8065.1511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5" t="s">
        <v>25</v>
      </c>
      <c r="D129" s="267">
        <v>6848</v>
      </c>
      <c r="E129" s="246">
        <v>208.20480000000001</v>
      </c>
      <c r="F129" s="246">
        <v>7693.5556999999999</v>
      </c>
      <c r="G129" s="246">
        <f t="shared" si="4"/>
        <v>-845.55569999999989</v>
      </c>
      <c r="H129" s="248">
        <v>6629.4484000000002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296" t="s">
        <v>18</v>
      </c>
      <c r="D130" s="253">
        <f>D131+D132</f>
        <v>5072</v>
      </c>
      <c r="E130" s="251">
        <f>E131+E132</f>
        <v>0</v>
      </c>
      <c r="F130" s="251">
        <f>F131+F132</f>
        <v>3896.6152000000002</v>
      </c>
      <c r="G130" s="251">
        <f>D130-F130</f>
        <v>1175.3847999999998</v>
      </c>
      <c r="H130" s="260">
        <f>H131+H132</f>
        <v>4785.9548999999997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5" t="s">
        <v>44</v>
      </c>
      <c r="D131" s="329">
        <v>4572</v>
      </c>
      <c r="E131" s="334">
        <v>0</v>
      </c>
      <c r="F131" s="334">
        <v>3896.6152000000002</v>
      </c>
      <c r="G131" s="334"/>
      <c r="H131" s="338">
        <v>4785.9548999999997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5" t="s">
        <v>45</v>
      </c>
      <c r="D132" s="329">
        <v>500</v>
      </c>
      <c r="E132" s="334"/>
      <c r="F132" s="334"/>
      <c r="G132" s="334"/>
      <c r="H132" s="338"/>
      <c r="I132" s="41"/>
      <c r="J132" s="41"/>
      <c r="K132" s="134"/>
      <c r="L132" s="163"/>
      <c r="M132" s="163"/>
    </row>
    <row r="133" spans="2:13" ht="15.75" thickBot="1" x14ac:dyDescent="0.3">
      <c r="B133" s="9"/>
      <c r="C133" s="297" t="s">
        <v>65</v>
      </c>
      <c r="D133" s="286">
        <v>6456</v>
      </c>
      <c r="E133" s="287">
        <v>178.30619999999999</v>
      </c>
      <c r="F133" s="287">
        <v>5706.1446999999998</v>
      </c>
      <c r="G133" s="287">
        <f>D133-F133</f>
        <v>749.85530000000017</v>
      </c>
      <c r="H133" s="298">
        <v>5625.2528000000002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299" t="s">
        <v>13</v>
      </c>
      <c r="D134" s="330">
        <v>250</v>
      </c>
      <c r="E134" s="335"/>
      <c r="F134" s="335">
        <v>5.2873999999999999</v>
      </c>
      <c r="G134" s="335">
        <f>D134-F134</f>
        <v>244.71260000000001</v>
      </c>
      <c r="H134" s="339">
        <v>5.6417999999999999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3" t="s">
        <v>73</v>
      </c>
      <c r="D135" s="242">
        <v>2000</v>
      </c>
      <c r="E135" s="247">
        <v>9.6024999999999991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3" t="s">
        <v>46</v>
      </c>
      <c r="D136" s="242">
        <v>350</v>
      </c>
      <c r="E136" s="247"/>
      <c r="F136" s="247">
        <v>170.227</v>
      </c>
      <c r="G136" s="247">
        <f>D136-F136</f>
        <v>179.773</v>
      </c>
      <c r="H136" s="249">
        <v>95.525999999999996</v>
      </c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1">
        <v>23.348099999999704</v>
      </c>
      <c r="F137" s="261">
        <v>192.39210000001185</v>
      </c>
      <c r="G137" s="261">
        <f>D137-F137</f>
        <v>-192.39210000001185</v>
      </c>
      <c r="H137" s="331">
        <v>239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1934.3908999999996</v>
      </c>
      <c r="F138" s="214">
        <f>F119+F123+F124+F134+F135+F136+F137</f>
        <v>102892.45280000001</v>
      </c>
      <c r="G138" s="214">
        <f>G119+G123+G124+G134+G135+G136+G137</f>
        <v>21057.547199999986</v>
      </c>
      <c r="H138" s="222">
        <f>H119+H123+H124+H134+H135+H136+H137</f>
        <v>103475.405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104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77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415" t="s">
        <v>2</v>
      </c>
      <c r="D147" s="416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0" t="s">
        <v>60</v>
      </c>
      <c r="D148" s="301">
        <v>17600</v>
      </c>
      <c r="E148" s="302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3" t="s">
        <v>90</v>
      </c>
      <c r="D149" s="304">
        <v>8400</v>
      </c>
      <c r="E149" s="302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5" t="s">
        <v>91</v>
      </c>
      <c r="D150" s="304">
        <v>4000</v>
      </c>
      <c r="E150" s="302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06" t="s">
        <v>35</v>
      </c>
      <c r="D151" s="307">
        <f>SUM(D148:D150)</f>
        <v>30000</v>
      </c>
      <c r="E151" s="302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08" t="s">
        <v>78</v>
      </c>
      <c r="D152" s="309"/>
      <c r="E152" s="309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08" t="s">
        <v>89</v>
      </c>
      <c r="D153" s="309"/>
      <c r="E153" s="309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92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40</v>
      </c>
      <c r="F156" s="72" t="str">
        <f>G20</f>
        <v>LANDET KVANTUM T.O.M UKE 40</v>
      </c>
      <c r="G156" s="72" t="str">
        <f>I20</f>
        <v>RESTKVOTER</v>
      </c>
      <c r="H156" s="95" t="str">
        <f>J20</f>
        <v>LANDET KVANTUM T.O.M. UKE 40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9.3277999999999999</v>
      </c>
      <c r="F157" s="196">
        <v>16431.246800000001</v>
      </c>
      <c r="G157" s="196">
        <f>D157-F157</f>
        <v>1055.7531999999992</v>
      </c>
      <c r="H157" s="234">
        <v>18716.771799999999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19</v>
      </c>
      <c r="G158" s="196">
        <f>D158-F158</f>
        <v>81</v>
      </c>
      <c r="H158" s="234">
        <v>9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9.3277999999999999</v>
      </c>
      <c r="F160" s="198">
        <f>SUM(F157:F159)</f>
        <v>16450.246800000001</v>
      </c>
      <c r="G160" s="198">
        <f>D160-F160</f>
        <v>1149.7531999999992</v>
      </c>
      <c r="H160" s="221">
        <f>SUM(H157:H159)</f>
        <v>18725.771799999999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79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420" t="s">
        <v>1</v>
      </c>
      <c r="C163" s="421"/>
      <c r="D163" s="421"/>
      <c r="E163" s="421"/>
      <c r="F163" s="421"/>
      <c r="G163" s="421"/>
      <c r="H163" s="421"/>
      <c r="I163" s="421"/>
      <c r="J163" s="421"/>
      <c r="K163" s="422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415" t="s">
        <v>2</v>
      </c>
      <c r="D165" s="416"/>
      <c r="E165" s="415" t="s">
        <v>58</v>
      </c>
      <c r="F165" s="416"/>
      <c r="G165" s="415" t="s">
        <v>59</v>
      </c>
      <c r="H165" s="416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0" t="s">
        <v>60</v>
      </c>
      <c r="D166" s="310">
        <v>33532</v>
      </c>
      <c r="E166" s="311" t="s">
        <v>5</v>
      </c>
      <c r="F166" s="312">
        <v>20022</v>
      </c>
      <c r="G166" s="303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3" t="s">
        <v>48</v>
      </c>
      <c r="D167" s="313">
        <v>32164</v>
      </c>
      <c r="E167" s="314" t="s">
        <v>49</v>
      </c>
      <c r="F167" s="315">
        <v>8000</v>
      </c>
      <c r="G167" s="303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3"/>
      <c r="D168" s="313"/>
      <c r="E168" s="314" t="s">
        <v>42</v>
      </c>
      <c r="F168" s="315">
        <v>5500</v>
      </c>
      <c r="G168" s="303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3"/>
      <c r="D169" s="313"/>
      <c r="E169" s="314"/>
      <c r="F169" s="315"/>
      <c r="G169" s="303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16">
        <f>SUM(D166:D169)</f>
        <v>65696</v>
      </c>
      <c r="E170" s="317" t="s">
        <v>62</v>
      </c>
      <c r="F170" s="316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1" t="s">
        <v>94</v>
      </c>
      <c r="D171" s="314"/>
      <c r="E171" s="314"/>
      <c r="F171" s="314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18" t="s">
        <v>93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417" t="s">
        <v>8</v>
      </c>
      <c r="C174" s="418"/>
      <c r="D174" s="418"/>
      <c r="E174" s="418"/>
      <c r="F174" s="418"/>
      <c r="G174" s="418"/>
      <c r="H174" s="418"/>
      <c r="I174" s="418"/>
      <c r="J174" s="418"/>
      <c r="K174" s="419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3" t="s">
        <v>20</v>
      </c>
      <c r="E176" s="238" t="str">
        <f>F20</f>
        <v>LANDET KVANTUM UKE 40</v>
      </c>
      <c r="F176" s="72" t="str">
        <f>G20</f>
        <v>LANDET KVANTUM T.O.M UKE 40</v>
      </c>
      <c r="G176" s="72" t="str">
        <f>I20</f>
        <v>RESTKVOTER</v>
      </c>
      <c r="H176" s="95" t="str">
        <f>J20</f>
        <v>LANDET KVANTUM T.O.M. UKE 40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44">
        <f>E178+E179+E180+E181</f>
        <v>137.18459999999999</v>
      </c>
      <c r="F177" s="344">
        <f>F178+F179+F180+F181</f>
        <v>22371.409799999998</v>
      </c>
      <c r="G177" s="344">
        <f>G178+G179+G180+G181</f>
        <v>-2349.4098000000008</v>
      </c>
      <c r="H177" s="349">
        <f>H178+H179+H180+H181</f>
        <v>23484.085500000001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26" t="s">
        <v>12</v>
      </c>
      <c r="D178" s="319">
        <v>10966</v>
      </c>
      <c r="E178" s="342">
        <v>29.713200000000001</v>
      </c>
      <c r="F178" s="342">
        <v>14198.021500000001</v>
      </c>
      <c r="G178" s="342">
        <f t="shared" ref="G178:G183" si="5">D178-F178</f>
        <v>-3232.0215000000007</v>
      </c>
      <c r="H178" s="347">
        <v>15039.700800000001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19">
        <v>2854</v>
      </c>
      <c r="E179" s="342">
        <v>27.27</v>
      </c>
      <c r="F179" s="342">
        <v>1668.1731</v>
      </c>
      <c r="G179" s="342">
        <f t="shared" si="5"/>
        <v>1185.8269</v>
      </c>
      <c r="H179" s="347">
        <v>2043.2366999999999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19">
        <v>1426</v>
      </c>
      <c r="E180" s="342">
        <v>24.726800000000001</v>
      </c>
      <c r="F180" s="342">
        <v>2605.8616000000002</v>
      </c>
      <c r="G180" s="342">
        <f t="shared" si="5"/>
        <v>-1179.8616000000002</v>
      </c>
      <c r="H180" s="347">
        <v>3306.2287999999999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19">
        <v>4776</v>
      </c>
      <c r="E181" s="342">
        <v>55.474600000000002</v>
      </c>
      <c r="F181" s="342">
        <v>3899.3535999999999</v>
      </c>
      <c r="G181" s="342">
        <f t="shared" si="5"/>
        <v>876.64640000000009</v>
      </c>
      <c r="H181" s="347">
        <v>3094.9191999999998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43">
        <v>2.1840000000000002</v>
      </c>
      <c r="F182" s="343">
        <v>2291.5479999999998</v>
      </c>
      <c r="G182" s="343">
        <f t="shared" si="5"/>
        <v>3208.4520000000002</v>
      </c>
      <c r="H182" s="348">
        <v>4184.3901999999998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44">
        <v>111.98779999999999</v>
      </c>
      <c r="F183" s="344">
        <v>3155.1075999999998</v>
      </c>
      <c r="G183" s="344">
        <f t="shared" si="5"/>
        <v>4844.8924000000006</v>
      </c>
      <c r="H183" s="349">
        <v>4079.8584000000001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19"/>
      <c r="E184" s="342">
        <v>5.9522000000000004</v>
      </c>
      <c r="F184" s="342">
        <v>1126.0247999999999</v>
      </c>
      <c r="G184" s="342"/>
      <c r="H184" s="347">
        <v>1889.5374999999999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45">
        <f>E183-E184</f>
        <v>106.03559999999999</v>
      </c>
      <c r="F185" s="345">
        <f>F183-F184</f>
        <v>2029.0827999999999</v>
      </c>
      <c r="G185" s="345"/>
      <c r="H185" s="350">
        <f>H183-H184</f>
        <v>2190.3209000000002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0">
        <v>10</v>
      </c>
      <c r="E186" s="346">
        <v>1.0288999999999999</v>
      </c>
      <c r="F186" s="346">
        <v>1.4404999999999999</v>
      </c>
      <c r="G186" s="346">
        <f>D186-F186</f>
        <v>8.5594999999999999</v>
      </c>
      <c r="H186" s="351">
        <v>3.1985999999999999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43">
        <v>3</v>
      </c>
      <c r="F187" s="343">
        <v>82</v>
      </c>
      <c r="G187" s="343">
        <f>D187-F187</f>
        <v>-82</v>
      </c>
      <c r="H187" s="348">
        <v>72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0">
        <f>E177+E182+E183+E186+E187</f>
        <v>255.38529999999997</v>
      </c>
      <c r="F188" s="214">
        <f>F177+F182+F183+F186+F187</f>
        <v>27901.505899999996</v>
      </c>
      <c r="G188" s="214">
        <f>G177+G182+G183+G186+G187</f>
        <v>5630.4941000000008</v>
      </c>
      <c r="H188" s="211">
        <f>H177+H182+H183+H186+H187</f>
        <v>31823.532700000003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420" t="s">
        <v>1</v>
      </c>
      <c r="C193" s="421"/>
      <c r="D193" s="421"/>
      <c r="E193" s="421"/>
      <c r="F193" s="421"/>
      <c r="G193" s="421"/>
      <c r="H193" s="421"/>
      <c r="I193" s="421"/>
      <c r="J193" s="421"/>
      <c r="K193" s="422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415" t="s">
        <v>2</v>
      </c>
      <c r="D195" s="416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0" t="s">
        <v>75</v>
      </c>
      <c r="D196" s="301">
        <v>6025</v>
      </c>
      <c r="E196" s="321"/>
      <c r="F196" s="266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3" t="s">
        <v>76</v>
      </c>
      <c r="D197" s="304">
        <v>31282</v>
      </c>
      <c r="E197" s="321"/>
      <c r="F197" s="266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5" t="s">
        <v>32</v>
      </c>
      <c r="D198" s="304">
        <v>382</v>
      </c>
      <c r="E198" s="321"/>
      <c r="F198" s="266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06" t="s">
        <v>35</v>
      </c>
      <c r="D199" s="307">
        <f>SUM(D196:D198)</f>
        <v>37689</v>
      </c>
      <c r="E199" s="321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2" t="s">
        <v>84</v>
      </c>
      <c r="D200" s="314"/>
      <c r="E200" s="314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18" t="s">
        <v>95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18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417" t="s">
        <v>8</v>
      </c>
      <c r="C203" s="418"/>
      <c r="D203" s="418"/>
      <c r="E203" s="418"/>
      <c r="F203" s="418"/>
      <c r="G203" s="418"/>
      <c r="H203" s="418"/>
      <c r="I203" s="418"/>
      <c r="J203" s="418"/>
      <c r="K203" s="419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40</v>
      </c>
      <c r="F205" s="72" t="str">
        <f>G20</f>
        <v>LANDET KVANTUM T.O.M UKE 40</v>
      </c>
      <c r="G205" s="72" t="str">
        <f>I20</f>
        <v>RESTKVOTER</v>
      </c>
      <c r="H205" s="95" t="str">
        <f>J20</f>
        <v>LANDET KVANTUM T.O.M. UKE 40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16.4617</v>
      </c>
      <c r="F206" s="196">
        <v>1140.0144</v>
      </c>
      <c r="G206" s="196"/>
      <c r="H206" s="234">
        <v>1037.7967000000001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48.933399999999999</v>
      </c>
      <c r="F207" s="196">
        <v>3547.9304000000002</v>
      </c>
      <c r="G207" s="196"/>
      <c r="H207" s="234">
        <v>3117.9333000000001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>
        <v>0</v>
      </c>
      <c r="F208" s="197">
        <v>2.12E-2</v>
      </c>
      <c r="G208" s="197"/>
      <c r="H208" s="235">
        <v>5.8893000000000004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/>
      <c r="F209" s="197">
        <v>59</v>
      </c>
      <c r="G209" s="197"/>
      <c r="H209" s="235">
        <v>35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65.395099999999999</v>
      </c>
      <c r="F210" s="198">
        <f>SUM(F206:F209)</f>
        <v>4746.9660000000003</v>
      </c>
      <c r="G210" s="198">
        <f>D210-F210</f>
        <v>1278.0339999999997</v>
      </c>
      <c r="H210" s="221">
        <f>H206+H207+H208+H209</f>
        <v>4196.6193000000003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40
&amp;"-,Normal"&amp;11(iht. motatte landings- og sluttsedler fra fiskesalgslagene; alle tallstørrelser i hele tonn)&amp;R11.10.2016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UKE_40_2016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2016-08-10T07:29:28Z</cp:lastPrinted>
  <dcterms:created xsi:type="dcterms:W3CDTF">2011-07-06T12:13:20Z</dcterms:created>
  <dcterms:modified xsi:type="dcterms:W3CDTF">2016-10-11T11:43:56Z</dcterms:modified>
</cp:coreProperties>
</file>