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Regulering\Seksjon for fiskeriregulering - NY MAPPE\ameik\Ukesstatistikk\2022\22-40\"/>
    </mc:Choice>
  </mc:AlternateContent>
  <xr:revisionPtr revIDLastSave="0" documentId="13_ncr:1_{980F02B3-35A4-4228-82CB-C3F3A5AFC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_40_2022" sheetId="1" r:id="rId1"/>
  </sheets>
  <definedNames>
    <definedName name="Z_14D440E4_F18A_4F78_9989_38C1B133222D_.wvu.Cols" localSheetId="0" hidden="1">UKE_40_2022!#REF!</definedName>
    <definedName name="Z_14D440E4_F18A_4F78_9989_38C1B133222D_.wvu.PrintArea" localSheetId="0" hidden="1">UKE_40_2022!$B$1:$J$359</definedName>
    <definedName name="Z_14D440E4_F18A_4F78_9989_38C1B133222D_.wvu.Rows" localSheetId="0" hidden="1">UKE_40_2022!#REF!,UKE_40_2022!#REF!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2" i="1" l="1"/>
  <c r="H158" i="1"/>
  <c r="I35" i="1"/>
  <c r="G35" i="1"/>
  <c r="I31" i="1"/>
  <c r="I30" i="1"/>
  <c r="I29" i="1"/>
  <c r="I28" i="1"/>
  <c r="G32" i="1"/>
  <c r="G30" i="1"/>
  <c r="H30" i="1" s="1"/>
  <c r="G29" i="1"/>
  <c r="G28" i="1"/>
  <c r="H28" i="1" s="1"/>
  <c r="E56" i="1"/>
  <c r="F56" i="1"/>
  <c r="H56" i="1"/>
  <c r="I32" i="1" s="1"/>
  <c r="D357" i="1"/>
  <c r="H355" i="1"/>
  <c r="F355" i="1"/>
  <c r="E355" i="1"/>
  <c r="H354" i="1"/>
  <c r="H353" i="1" s="1"/>
  <c r="F354" i="1"/>
  <c r="F353" i="1" s="1"/>
  <c r="G353" i="1" s="1"/>
  <c r="E354" i="1"/>
  <c r="E353" i="1" s="1"/>
  <c r="H352" i="1"/>
  <c r="F352" i="1"/>
  <c r="E352" i="1"/>
  <c r="E350" i="1" s="1"/>
  <c r="H351" i="1"/>
  <c r="F351" i="1"/>
  <c r="F350" i="1" s="1"/>
  <c r="G350" i="1" s="1"/>
  <c r="E351" i="1"/>
  <c r="H350" i="1"/>
  <c r="H349" i="1"/>
  <c r="H347" i="1" s="1"/>
  <c r="H357" i="1" s="1"/>
  <c r="F349" i="1"/>
  <c r="E349" i="1"/>
  <c r="E347" i="1" s="1"/>
  <c r="H348" i="1"/>
  <c r="F348" i="1"/>
  <c r="E348" i="1"/>
  <c r="F347" i="1"/>
  <c r="D325" i="1"/>
  <c r="I324" i="1"/>
  <c r="G324" i="1"/>
  <c r="H324" i="1" s="1"/>
  <c r="F324" i="1"/>
  <c r="I323" i="1"/>
  <c r="G323" i="1"/>
  <c r="H323" i="1" s="1"/>
  <c r="F323" i="1"/>
  <c r="I322" i="1"/>
  <c r="I320" i="1" s="1"/>
  <c r="G322" i="1"/>
  <c r="F322" i="1"/>
  <c r="F320" i="1" s="1"/>
  <c r="I321" i="1"/>
  <c r="G321" i="1"/>
  <c r="F321" i="1"/>
  <c r="G320" i="1"/>
  <c r="H320" i="1" s="1"/>
  <c r="I319" i="1"/>
  <c r="G319" i="1"/>
  <c r="H319" i="1" s="1"/>
  <c r="F319" i="1"/>
  <c r="I318" i="1"/>
  <c r="G318" i="1"/>
  <c r="H318" i="1" s="1"/>
  <c r="F318" i="1"/>
  <c r="I317" i="1"/>
  <c r="G317" i="1"/>
  <c r="H317" i="1" s="1"/>
  <c r="F317" i="1"/>
  <c r="F314" i="1" s="1"/>
  <c r="I316" i="1"/>
  <c r="G316" i="1"/>
  <c r="H316" i="1" s="1"/>
  <c r="F316" i="1"/>
  <c r="I315" i="1"/>
  <c r="G315" i="1"/>
  <c r="H315" i="1" s="1"/>
  <c r="F315" i="1"/>
  <c r="E314" i="1"/>
  <c r="E325" i="1" s="1"/>
  <c r="D314" i="1"/>
  <c r="H306" i="1"/>
  <c r="F306" i="1"/>
  <c r="D288" i="1"/>
  <c r="H287" i="1"/>
  <c r="F287" i="1"/>
  <c r="E287" i="1"/>
  <c r="H286" i="1"/>
  <c r="F286" i="1"/>
  <c r="G286" i="1" s="1"/>
  <c r="E286" i="1"/>
  <c r="H285" i="1"/>
  <c r="H288" i="1" s="1"/>
  <c r="F285" i="1"/>
  <c r="E285" i="1"/>
  <c r="H284" i="1"/>
  <c r="F284" i="1"/>
  <c r="G284" i="1" s="1"/>
  <c r="E284" i="1"/>
  <c r="D277" i="1"/>
  <c r="H233" i="1"/>
  <c r="D233" i="1"/>
  <c r="G232" i="1"/>
  <c r="H231" i="1"/>
  <c r="F231" i="1"/>
  <c r="G231" i="1" s="1"/>
  <c r="E231" i="1"/>
  <c r="H230" i="1"/>
  <c r="F230" i="1"/>
  <c r="F233" i="1" s="1"/>
  <c r="E230" i="1"/>
  <c r="E233" i="1" s="1"/>
  <c r="D210" i="1"/>
  <c r="H208" i="1"/>
  <c r="F208" i="1"/>
  <c r="G208" i="1" s="1"/>
  <c r="E208" i="1"/>
  <c r="H207" i="1"/>
  <c r="H204" i="1" s="1"/>
  <c r="F207" i="1"/>
  <c r="E207" i="1"/>
  <c r="H206" i="1"/>
  <c r="F206" i="1"/>
  <c r="E206" i="1"/>
  <c r="H205" i="1"/>
  <c r="F205" i="1"/>
  <c r="F204" i="1" s="1"/>
  <c r="G204" i="1" s="1"/>
  <c r="E205" i="1"/>
  <c r="E204" i="1" s="1"/>
  <c r="H203" i="1"/>
  <c r="F203" i="1"/>
  <c r="G203" i="1" s="1"/>
  <c r="E203" i="1"/>
  <c r="H202" i="1"/>
  <c r="H210" i="1" s="1"/>
  <c r="F202" i="1"/>
  <c r="E202" i="1"/>
  <c r="H201" i="1"/>
  <c r="F201" i="1"/>
  <c r="G201" i="1" s="1"/>
  <c r="E201" i="1"/>
  <c r="H174" i="1"/>
  <c r="H173" i="1"/>
  <c r="H172" i="1"/>
  <c r="H171" i="1"/>
  <c r="F171" i="1"/>
  <c r="I170" i="1"/>
  <c r="G170" i="1"/>
  <c r="H170" i="1" s="1"/>
  <c r="F170" i="1"/>
  <c r="I169" i="1"/>
  <c r="G169" i="1"/>
  <c r="H169" i="1" s="1"/>
  <c r="F169" i="1"/>
  <c r="I168" i="1"/>
  <c r="G168" i="1"/>
  <c r="H168" i="1" s="1"/>
  <c r="F168" i="1"/>
  <c r="F159" i="1" s="1"/>
  <c r="I167" i="1"/>
  <c r="G167" i="1"/>
  <c r="H167" i="1" s="1"/>
  <c r="H165" i="1" s="1"/>
  <c r="H166" i="1"/>
  <c r="E165" i="1"/>
  <c r="D165" i="1"/>
  <c r="I164" i="1"/>
  <c r="I160" i="1" s="1"/>
  <c r="I159" i="1" s="1"/>
  <c r="H164" i="1"/>
  <c r="F164" i="1"/>
  <c r="I163" i="1"/>
  <c r="H163" i="1"/>
  <c r="F163" i="1"/>
  <c r="I162" i="1"/>
  <c r="F162" i="1"/>
  <c r="I161" i="1"/>
  <c r="F161" i="1"/>
  <c r="F160" i="1" s="1"/>
  <c r="E160" i="1"/>
  <c r="E159" i="1" s="1"/>
  <c r="D160" i="1"/>
  <c r="D159" i="1" s="1"/>
  <c r="I158" i="1"/>
  <c r="F158" i="1"/>
  <c r="H157" i="1"/>
  <c r="I156" i="1"/>
  <c r="I154" i="1" s="1"/>
  <c r="G156" i="1"/>
  <c r="H156" i="1" s="1"/>
  <c r="F156" i="1"/>
  <c r="I155" i="1"/>
  <c r="H155" i="1"/>
  <c r="G155" i="1"/>
  <c r="G154" i="1" s="1"/>
  <c r="F155" i="1"/>
  <c r="F154" i="1" s="1"/>
  <c r="E154" i="1"/>
  <c r="E176" i="1" s="1"/>
  <c r="D154" i="1"/>
  <c r="D176" i="1" s="1"/>
  <c r="C152" i="1"/>
  <c r="H132" i="1"/>
  <c r="H131" i="1"/>
  <c r="H129" i="1"/>
  <c r="F129" i="1"/>
  <c r="I128" i="1"/>
  <c r="G128" i="1"/>
  <c r="H128" i="1" s="1"/>
  <c r="F128" i="1"/>
  <c r="I127" i="1"/>
  <c r="H127" i="1"/>
  <c r="G127" i="1"/>
  <c r="F127" i="1"/>
  <c r="I126" i="1"/>
  <c r="G126" i="1"/>
  <c r="H126" i="1" s="1"/>
  <c r="F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G122" i="1"/>
  <c r="F122" i="1"/>
  <c r="F121" i="1" s="1"/>
  <c r="F120" i="1" s="1"/>
  <c r="I121" i="1"/>
  <c r="E121" i="1"/>
  <c r="E120" i="1" s="1"/>
  <c r="D121" i="1"/>
  <c r="D120" i="1" s="1"/>
  <c r="I120" i="1"/>
  <c r="I119" i="1"/>
  <c r="G119" i="1"/>
  <c r="H119" i="1" s="1"/>
  <c r="F119" i="1"/>
  <c r="I118" i="1"/>
  <c r="I117" i="1" s="1"/>
  <c r="I133" i="1" s="1"/>
  <c r="H118" i="1"/>
  <c r="G118" i="1"/>
  <c r="F118" i="1"/>
  <c r="G117" i="1"/>
  <c r="F117" i="1"/>
  <c r="E117" i="1"/>
  <c r="E133" i="1" s="1"/>
  <c r="D117" i="1"/>
  <c r="C114" i="1"/>
  <c r="H110" i="1"/>
  <c r="F110" i="1"/>
  <c r="D110" i="1"/>
  <c r="G62" i="1"/>
  <c r="G61" i="1"/>
  <c r="E45" i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I34" i="1" s="1"/>
  <c r="G36" i="1"/>
  <c r="H36" i="1" s="1"/>
  <c r="F36" i="1"/>
  <c r="F35" i="1"/>
  <c r="E34" i="1"/>
  <c r="D34" i="1"/>
  <c r="I33" i="1"/>
  <c r="H33" i="1"/>
  <c r="G33" i="1"/>
  <c r="F33" i="1"/>
  <c r="F32" i="1"/>
  <c r="F27" i="1" s="1"/>
  <c r="H31" i="1"/>
  <c r="G31" i="1"/>
  <c r="F31" i="1"/>
  <c r="F30" i="1"/>
  <c r="F29" i="1"/>
  <c r="F28" i="1"/>
  <c r="E27" i="1"/>
  <c r="D27" i="1"/>
  <c r="E26" i="1"/>
  <c r="D26" i="1"/>
  <c r="I25" i="1"/>
  <c r="G25" i="1"/>
  <c r="H25" i="1" s="1"/>
  <c r="F25" i="1"/>
  <c r="I24" i="1"/>
  <c r="I23" i="1" s="1"/>
  <c r="G24" i="1"/>
  <c r="G23" i="1" s="1"/>
  <c r="F24" i="1"/>
  <c r="F23" i="1" s="1"/>
  <c r="E23" i="1"/>
  <c r="D23" i="1"/>
  <c r="D45" i="1" s="1"/>
  <c r="H16" i="1"/>
  <c r="F16" i="1"/>
  <c r="D16" i="1"/>
  <c r="H32" i="1" l="1"/>
  <c r="I27" i="1"/>
  <c r="I26" i="1" s="1"/>
  <c r="I45" i="1" s="1"/>
  <c r="G56" i="1"/>
  <c r="G27" i="1"/>
  <c r="F34" i="1"/>
  <c r="F26" i="1" s="1"/>
  <c r="F45" i="1" s="1"/>
  <c r="I176" i="1"/>
  <c r="H29" i="1"/>
  <c r="F176" i="1"/>
  <c r="F210" i="1"/>
  <c r="G210" i="1" s="1"/>
  <c r="G314" i="1"/>
  <c r="G325" i="1" s="1"/>
  <c r="G160" i="1"/>
  <c r="G159" i="1" s="1"/>
  <c r="G176" i="1" s="1"/>
  <c r="H161" i="1"/>
  <c r="H160" i="1" s="1"/>
  <c r="H159" i="1" s="1"/>
  <c r="F357" i="1"/>
  <c r="G347" i="1"/>
  <c r="G357" i="1" s="1"/>
  <c r="H24" i="1"/>
  <c r="H23" i="1" s="1"/>
  <c r="G34" i="1"/>
  <c r="H35" i="1"/>
  <c r="D133" i="1"/>
  <c r="E210" i="1"/>
  <c r="I314" i="1"/>
  <c r="I325" i="1" s="1"/>
  <c r="G121" i="1"/>
  <c r="G120" i="1" s="1"/>
  <c r="G133" i="1" s="1"/>
  <c r="H122" i="1"/>
  <c r="H121" i="1" s="1"/>
  <c r="H120" i="1" s="1"/>
  <c r="E288" i="1"/>
  <c r="F325" i="1"/>
  <c r="H117" i="1"/>
  <c r="H133" i="1" s="1"/>
  <c r="H154" i="1"/>
  <c r="F133" i="1"/>
  <c r="G233" i="1"/>
  <c r="F288" i="1"/>
  <c r="G288" i="1" s="1"/>
  <c r="H314" i="1"/>
  <c r="H325" i="1" s="1"/>
  <c r="E357" i="1"/>
  <c r="G230" i="1"/>
  <c r="H176" i="1" l="1"/>
  <c r="H27" i="1"/>
  <c r="H34" i="1"/>
  <c r="H26" i="1" s="1"/>
  <c r="H45" i="1" s="1"/>
  <c r="G26" i="1"/>
  <c r="G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<sst xmlns="http://schemas.openxmlformats.org/spreadsheetml/2006/main" count="333" uniqueCount="150">
  <si>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</si>
  <si>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</si>
  <si>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</si>
  <si>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</si>
  <si>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</si>
  <si>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</si>
  <si>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</si>
  <si>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</si>
  <si>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</si>
  <si>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</si>
  <si>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</si>
  <si>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</si>
  <si>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</si>
  <si>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</si>
  <si>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</si>
  <si>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</si>
  <si>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</si>
  <si>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</si>
  <si>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</si>
  <si>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</si>
  <si>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</si>
  <si>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</si>
  <si>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</si>
  <si>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</si>
  <si>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</si>
  <si>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</si>
  <si>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</si>
  <si>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</si>
  <si>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</si>
  <si>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</si>
  <si>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</si>
  <si>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</si>
  <si>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</si>
  <si>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</si>
  <si>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</si>
  <si>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</si>
  <si>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</si>
  <si>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</si>
  <si>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</si>
  <si>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</si>
  <si>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</si>
  <si>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</si>
  <si>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</si>
  <si>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</si>
  <si>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</si>
  <si>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</si>
  <si>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</si>
  <si>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</si>
  <si>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</si>
  <si>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</si>
  <si>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</si>
  <si>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</si>
  <si>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</si>
  <si>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</si>
  <si>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</si>
  <si>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</si>
  <si>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</si>
  <si>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</si>
  <si>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</si>
  <si>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</si>
  <si>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</si>
  <si>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</si>
  <si>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</si>
  <si>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</si>
  <si>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</si>
  <si>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</si>
  <si>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</si>
  <si>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</si>
  <si>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</si>
  <si>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</si>
  <si>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</si>
  <si>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</si>
  <si>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</si>
  <si>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</si>
  <si>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</si>
  <si>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</si>
  <si>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</si>
  <si>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</si>
  <si>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</si>
  <si>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</si>
  <si>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</si>
  <si>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</si>
  <si>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</si>
  <si>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</si>
  <si>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</si>
  <si>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</si>
  <si>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</si>
  <si>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</si>
  <si>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</si>
  <si>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</si>
  <si>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</si>
  <si>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</si>
  <si>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</si>
  <si>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</si>
  <si>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</si>
  <si>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</si>
  <si>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</si>
  <si>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</si>
  <si>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</si>
  <si>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</si>
  <si>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</si>
  <si>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</si>
  <si>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</si>
  <si>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</si>
  <si>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</si>
  <si>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</si>
  <si>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</si>
  <si>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</si>
  <si>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</si>
  <si>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</si>
  <si>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</si>
  <si>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</si>
  <si>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</si>
  <si>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</si>
  <si>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</si>
  <si>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</si>
  <si>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</si>
  <si>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</si>
  <si>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</si>
  <si>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</si>
  <si>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</si>
  <si>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</si>
  <si>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</si>
  <si>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</si>
  <si>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</si>
  <si>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</si>
  <si>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</si>
  <si>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</si>
  <si>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</si>
  <si>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</si>
  <si>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</si>
  <si>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</si>
  <si>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</si>
  <si>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</si>
  <si>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</si>
  <si>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</si>
  <si>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</si>
  <si>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</si>
  <si>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</si>
  <si>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</si>
  <si>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</si>
  <si>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</si>
  <si>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40</t>
  </si>
  <si>
    <t>FANGST T.O.M UKE 40</t>
  </si>
  <si>
    <t>RESTKVOTER UKE 40</t>
  </si>
  <si>
    <t>FANGST T.O.M UKE 40 2021</t>
  </si>
  <si>
    <r>
      <t xml:space="preserve">3 </t>
    </r>
    <r>
      <rPr>
        <sz val="9"/>
        <color indexed="8"/>
        <rFont val="Calibri"/>
        <family val="2"/>
      </rPr>
      <t>Registrert rekreasjonsfiske utgjør 781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</si>
  <si>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</si>
  <si>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480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</si>
  <si>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6 130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</si>
</sst>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0" fontId="1" fillId="0" borderId="4" xfId="0" applyFont="1" applyBorder="1"/>
    <xf numFmtId="1" fontId="8" fillId="0" borderId="22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48" fillId="0" borderId="12" xfId="0" applyNumberFormat="1" applyFont="1" applyBorder="1" applyAlignment="1">
      <alignment horizontal="right" vertical="center" wrapText="1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zoomScale="85" zoomScaleNormal="85" zoomScaleSheetLayoutView="100" zoomScalePageLayoutView="55" workbookViewId="0"/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5" t="s">
        <v>0</v>
      </c>
      <c r="C2" s="296"/>
      <c r="D2" s="296"/>
      <c r="E2" s="296"/>
      <c r="F2" s="296"/>
      <c r="G2" s="296"/>
      <c r="H2" s="296"/>
      <c r="I2" s="296"/>
      <c r="J2" s="297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8"/>
      <c r="C9" s="299"/>
      <c r="D9" s="299"/>
      <c r="E9" s="299"/>
      <c r="F9" s="299"/>
      <c r="G9" s="299"/>
      <c r="H9" s="299"/>
      <c r="I9" s="299"/>
      <c r="J9" s="300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301" t="s">
        <v>2</v>
      </c>
      <c r="D11" s="302"/>
      <c r="E11" s="301" t="s">
        <v>3</v>
      </c>
      <c r="F11" s="302"/>
      <c r="G11" s="301" t="s">
        <v>4</v>
      </c>
      <c r="H11" s="302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355.78249</v>
      </c>
      <c r="G23" s="28">
        <f t="shared" si="0"/>
        <v>77342.984690000012</v>
      </c>
      <c r="H23" s="11">
        <f t="shared" si="0"/>
        <v>35349.015309999995</v>
      </c>
      <c r="I23" s="11">
        <f t="shared" si="0"/>
        <v>71282.959359999993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355.78249</f>
        <v>355.78249</v>
      </c>
      <c r="G24" s="23">
        <f>76896.03574</f>
        <v>76896.035740000007</v>
      </c>
      <c r="H24" s="23">
        <f>E24-G24</f>
        <v>35002.964259999993</v>
      </c>
      <c r="I24" s="23">
        <f>70824.47866</f>
        <v>70824.478659999993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0</f>
        <v>0</v>
      </c>
      <c r="G25" s="23">
        <f>446.94895</f>
        <v>446.94895000000002</v>
      </c>
      <c r="H25" s="23">
        <f>E25-G25</f>
        <v>346.05104999999998</v>
      </c>
      <c r="I25" s="23">
        <f>458.4807</f>
        <v>458.48070000000001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793.83045000000004</v>
      </c>
      <c r="G26" s="11">
        <f t="shared" si="1"/>
        <v>213730.46628999998</v>
      </c>
      <c r="H26" s="11">
        <f t="shared" si="1"/>
        <v>44285.533710000003</v>
      </c>
      <c r="I26" s="11">
        <f t="shared" si="1"/>
        <v>224629.86320099991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720.23987</v>
      </c>
      <c r="G27" s="136">
        <f t="shared" si="2"/>
        <v>173093.61429999999</v>
      </c>
      <c r="H27" s="136">
        <f t="shared" si="2"/>
        <v>25828.385699999999</v>
      </c>
      <c r="I27" s="136">
        <f t="shared" si="2"/>
        <v>185727.1372709999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93.56601</f>
        <v>93.566010000000006</v>
      </c>
      <c r="G28" s="130">
        <f>43751.26741-F57</f>
        <v>42922.26741</v>
      </c>
      <c r="H28" s="130">
        <f t="shared" ref="H28:H40" si="3">E28-G28</f>
        <v>7675.7325899999996</v>
      </c>
      <c r="I28" s="130">
        <f>44141.2839099999-H57</f>
        <v>42584.283909999896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221.49509</f>
        <v>221.49509</v>
      </c>
      <c r="G29" s="130">
        <f>49138.22171-F58</f>
        <v>46903.221709999998</v>
      </c>
      <c r="H29" s="130">
        <f t="shared" si="3"/>
        <v>5189.778290000002</v>
      </c>
      <c r="I29" s="130">
        <f>52972.73853-H58</f>
        <v>50311.738530000002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31.78011</f>
        <v>31.780110000000001</v>
      </c>
      <c r="G30" s="130">
        <f>46117.94036-F59</f>
        <v>44216.940360000001</v>
      </c>
      <c r="H30" s="130">
        <f t="shared" si="3"/>
        <v>6519.0596399999995</v>
      </c>
      <c r="I30" s="130">
        <f>47814.661779-F59</f>
        <v>45913.661779000002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65.39866</f>
        <v>65.398660000000007</v>
      </c>
      <c r="G31" s="130">
        <f>34086.18482</f>
        <v>34086.184820000002</v>
      </c>
      <c r="H31" s="130">
        <f t="shared" si="3"/>
        <v>-891.18482000000222</v>
      </c>
      <c r="I31" s="130">
        <f>38374.453052-F60</f>
        <v>37312.453051999997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308</v>
      </c>
      <c r="G32" s="130">
        <f>F56-F60</f>
        <v>4965</v>
      </c>
      <c r="H32" s="130">
        <f t="shared" si="3"/>
        <v>7335</v>
      </c>
      <c r="I32" s="130">
        <f>H56</f>
        <v>9605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0.59</f>
        <v>0.59</v>
      </c>
      <c r="G33" s="136">
        <f>19678.33614</f>
        <v>19678.336139999999</v>
      </c>
      <c r="H33" s="136">
        <f t="shared" si="3"/>
        <v>12056.663860000001</v>
      </c>
      <c r="I33" s="136">
        <f>20625.99214</f>
        <v>20625.992139999998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73.000579999999999</v>
      </c>
      <c r="G34" s="136">
        <f>G35+G36</f>
        <v>20958.51585</v>
      </c>
      <c r="H34" s="136">
        <f t="shared" si="3"/>
        <v>6400.4841500000002</v>
      </c>
      <c r="I34" s="136">
        <f>I35+I36</f>
        <v>18276.733789999998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42.00058</f>
        <v>42.000579999999999</v>
      </c>
      <c r="G35" s="292">
        <f>22641.51585-F61-F62</f>
        <v>20277.51585</v>
      </c>
      <c r="H35" s="130">
        <f t="shared" si="3"/>
        <v>5581.4841500000002</v>
      </c>
      <c r="I35" s="130">
        <f>21367.73379-H61-H62</f>
        <v>17147.733789999998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31</v>
      </c>
      <c r="G36" s="74">
        <f>F61</f>
        <v>681</v>
      </c>
      <c r="H36" s="74">
        <f t="shared" si="3"/>
        <v>819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0</f>
        <v>0</v>
      </c>
      <c r="G38" s="102">
        <f>465.11773</f>
        <v>465.11772999999999</v>
      </c>
      <c r="H38" s="102">
        <f t="shared" si="3"/>
        <v>505.88227000000001</v>
      </c>
      <c r="I38" s="102">
        <f>497.7227</f>
        <v>497.72269999999997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1</v>
      </c>
      <c r="G39" s="102">
        <f>F62</f>
        <v>1683</v>
      </c>
      <c r="H39" s="102">
        <f t="shared" si="3"/>
        <v>2144</v>
      </c>
      <c r="I39" s="102">
        <f>H62</f>
        <v>3091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1.60676</f>
        <v>1.60676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2272.4147</f>
        <v>2272.4146999999998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1152.2226999999998</v>
      </c>
      <c r="G45" s="80">
        <f t="shared" si="4"/>
        <v>300658.87066000002</v>
      </c>
      <c r="H45" s="80">
        <f t="shared" si="4"/>
        <v>84621.06733999998</v>
      </c>
      <c r="I45" s="80">
        <f t="shared" si="4"/>
        <v>310210.77663999988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3" t="s">
        <v>49</v>
      </c>
      <c r="D53" s="303"/>
      <c r="E53" s="303"/>
      <c r="F53" s="303"/>
      <c r="G53" s="303"/>
      <c r="H53" s="303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thickBot="1" x14ac:dyDescent="0.3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4">
        <v>12300</v>
      </c>
      <c r="E56" s="11">
        <f>E60+E59+E58+E57</f>
        <v>308</v>
      </c>
      <c r="F56" s="11">
        <f>F60+F59+F58+F57</f>
        <v>6027</v>
      </c>
      <c r="G56" s="304">
        <f>D56-F56</f>
        <v>6273</v>
      </c>
      <c r="H56" s="11">
        <f>H60+H59+H58+H57</f>
        <v>9605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5"/>
      <c r="E57" s="130">
        <v>65</v>
      </c>
      <c r="F57" s="130">
        <v>829</v>
      </c>
      <c r="G57" s="305"/>
      <c r="H57" s="130">
        <v>1557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5"/>
      <c r="E58" s="130">
        <v>107</v>
      </c>
      <c r="F58" s="130">
        <v>2235</v>
      </c>
      <c r="G58" s="305"/>
      <c r="H58" s="130">
        <v>2661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5"/>
      <c r="E59" s="130">
        <v>97</v>
      </c>
      <c r="F59" s="130">
        <v>1901</v>
      </c>
      <c r="G59" s="305"/>
      <c r="H59" s="130">
        <v>3623</v>
      </c>
      <c r="I59" s="258"/>
      <c r="J59" s="244"/>
    </row>
    <row r="60" spans="1:10" ht="14.1" customHeight="1" thickBot="1" x14ac:dyDescent="0.3">
      <c r="A60" s="101"/>
      <c r="B60" s="24"/>
      <c r="C60" s="91" t="s">
        <v>30</v>
      </c>
      <c r="D60" s="306"/>
      <c r="E60" s="196">
        <v>39</v>
      </c>
      <c r="F60" s="196">
        <v>1062</v>
      </c>
      <c r="G60" s="306"/>
      <c r="H60" s="196">
        <v>1764</v>
      </c>
      <c r="I60" s="258"/>
      <c r="J60" s="244"/>
    </row>
    <row r="61" spans="1:10" ht="14.1" customHeight="1" thickBot="1" x14ac:dyDescent="0.3">
      <c r="A61" s="101"/>
      <c r="B61" s="24"/>
      <c r="C61" s="92" t="s">
        <v>52</v>
      </c>
      <c r="D61" s="98">
        <v>1500</v>
      </c>
      <c r="E61" s="98">
        <v>31</v>
      </c>
      <c r="F61" s="98">
        <v>681</v>
      </c>
      <c r="G61" s="98">
        <f>D61-F61</f>
        <v>819</v>
      </c>
      <c r="H61" s="98">
        <v>1129</v>
      </c>
      <c r="I61" s="258"/>
      <c r="J61" s="244"/>
    </row>
    <row r="62" spans="1:10" ht="14.1" customHeight="1" thickBot="1" x14ac:dyDescent="0.3">
      <c r="A62" s="101"/>
      <c r="B62" s="24"/>
      <c r="C62" s="147" t="s">
        <v>53</v>
      </c>
      <c r="D62" s="143">
        <v>3827</v>
      </c>
      <c r="E62" s="143">
        <v>1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301" t="s">
        <v>2</v>
      </c>
      <c r="D106" s="302"/>
      <c r="E106" s="301" t="s">
        <v>3</v>
      </c>
      <c r="F106" s="307"/>
      <c r="G106" s="301" t="s">
        <v>4</v>
      </c>
      <c r="H106" s="302"/>
      <c r="I106" s="183"/>
      <c r="J106" s="244"/>
    </row>
    <row r="107" spans="1:10" ht="15" customHeight="1" x14ac:dyDescent="0.25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25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20.407800000000002</v>
      </c>
      <c r="G117" s="11">
        <f t="shared" si="5"/>
        <v>36552.318800000001</v>
      </c>
      <c r="H117" s="11">
        <f t="shared" si="5"/>
        <v>-3866.3187999999986</v>
      </c>
      <c r="I117" s="11">
        <f t="shared" si="5"/>
        <v>44032.632059999996</v>
      </c>
      <c r="J117" s="244"/>
    </row>
    <row r="118" spans="1:10" ht="15" customHeight="1" x14ac:dyDescent="0.25">
      <c r="A118" s="1"/>
      <c r="B118" s="254"/>
      <c r="C118" s="47" t="s">
        <v>23</v>
      </c>
      <c r="D118" s="48">
        <v>32722</v>
      </c>
      <c r="E118" s="23">
        <v>31903</v>
      </c>
      <c r="F118" s="23">
        <f>20.4078</f>
        <v>20.407800000000002</v>
      </c>
      <c r="G118" s="23">
        <f>35829.37693</f>
        <v>35829.376929999999</v>
      </c>
      <c r="H118" s="23">
        <f>E118-G118</f>
        <v>-3926.3769299999985</v>
      </c>
      <c r="I118" s="23">
        <f>43264.09712</f>
        <v>43264.097119999999</v>
      </c>
      <c r="J118" s="244"/>
    </row>
    <row r="119" spans="1:10" ht="14.1" customHeight="1" x14ac:dyDescent="0.25">
      <c r="A119" s="1"/>
      <c r="B119" s="254"/>
      <c r="C119" s="66" t="s">
        <v>24</v>
      </c>
      <c r="D119" s="51">
        <v>750</v>
      </c>
      <c r="E119" s="52">
        <v>783</v>
      </c>
      <c r="F119" s="52">
        <f>0</f>
        <v>0</v>
      </c>
      <c r="G119" s="52">
        <f>722.94187</f>
        <v>722.94186999999999</v>
      </c>
      <c r="H119" s="52">
        <f>E119-G119</f>
        <v>60.058130000000006</v>
      </c>
      <c r="I119" s="52">
        <f>768.53494</f>
        <v>768.53494000000001</v>
      </c>
      <c r="J119" s="244"/>
    </row>
    <row r="120" spans="1:10" ht="15.75" customHeight="1" x14ac:dyDescent="0.25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465.75022999999999</v>
      </c>
      <c r="G120" s="11">
        <f t="shared" si="6"/>
        <v>35429.379550000005</v>
      </c>
      <c r="H120" s="11">
        <f t="shared" si="6"/>
        <v>32780.620450000002</v>
      </c>
      <c r="I120" s="11">
        <f t="shared" si="6"/>
        <v>38523.00217</v>
      </c>
      <c r="J120" s="244"/>
    </row>
    <row r="121" spans="1:10" ht="14.1" customHeight="1" x14ac:dyDescent="0.25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382.76157000000001</v>
      </c>
      <c r="G121" s="136">
        <f t="shared" si="7"/>
        <v>27409.252350000002</v>
      </c>
      <c r="H121" s="136">
        <f t="shared" si="7"/>
        <v>23599.747650000001</v>
      </c>
      <c r="I121" s="136">
        <f t="shared" si="7"/>
        <v>30958.710230000001</v>
      </c>
      <c r="J121" s="244"/>
    </row>
    <row r="122" spans="1:10" ht="14.1" customHeight="1" x14ac:dyDescent="0.25">
      <c r="A122" s="202"/>
      <c r="B122" s="186"/>
      <c r="C122" s="64" t="s">
        <v>27</v>
      </c>
      <c r="D122" s="65">
        <v>11327</v>
      </c>
      <c r="E122" s="130">
        <v>13658</v>
      </c>
      <c r="F122" s="130">
        <f>100.19181</f>
        <v>100.19181</v>
      </c>
      <c r="G122" s="130">
        <f>3268.29382</f>
        <v>3268.2938199999999</v>
      </c>
      <c r="H122" s="130">
        <f t="shared" ref="H122:H129" si="8">E122-G122</f>
        <v>10389.706180000001</v>
      </c>
      <c r="I122" s="130">
        <f>3911.75081</f>
        <v>3911.75081</v>
      </c>
      <c r="J122" s="244"/>
    </row>
    <row r="123" spans="1:10" ht="14.1" customHeight="1" x14ac:dyDescent="0.25">
      <c r="A123" s="202"/>
      <c r="B123" s="186"/>
      <c r="C123" s="64" t="s">
        <v>60</v>
      </c>
      <c r="D123" s="65">
        <v>12171</v>
      </c>
      <c r="E123" s="130">
        <v>14540</v>
      </c>
      <c r="F123" s="130">
        <f>124.71087</f>
        <v>124.71087</v>
      </c>
      <c r="G123" s="130">
        <f>9543.29503</f>
        <v>9543.2950299999993</v>
      </c>
      <c r="H123" s="130">
        <f t="shared" si="8"/>
        <v>4996.7049700000007</v>
      </c>
      <c r="I123" s="130">
        <f>10019.89702</f>
        <v>10019.89702</v>
      </c>
      <c r="J123" s="244"/>
    </row>
    <row r="124" spans="1:10" ht="14.1" customHeight="1" x14ac:dyDescent="0.25">
      <c r="A124" s="202"/>
      <c r="B124" s="186"/>
      <c r="C124" s="64" t="s">
        <v>61</v>
      </c>
      <c r="D124" s="65">
        <v>11356</v>
      </c>
      <c r="E124" s="130">
        <v>13798</v>
      </c>
      <c r="F124" s="130">
        <f>101.75707</f>
        <v>101.75707</v>
      </c>
      <c r="G124" s="130">
        <f>7408.19336</f>
        <v>7408.1933600000002</v>
      </c>
      <c r="H124" s="130">
        <f t="shared" si="8"/>
        <v>6389.8066399999998</v>
      </c>
      <c r="I124" s="130">
        <f>10908.36744</f>
        <v>10908.36744</v>
      </c>
      <c r="J124" s="244"/>
    </row>
    <row r="125" spans="1:10" ht="14.1" customHeight="1" x14ac:dyDescent="0.25">
      <c r="A125" s="202"/>
      <c r="B125" s="186"/>
      <c r="C125" s="64" t="s">
        <v>30</v>
      </c>
      <c r="D125" s="65">
        <v>7436</v>
      </c>
      <c r="E125" s="130">
        <v>9013</v>
      </c>
      <c r="F125" s="130">
        <f>56.10182</f>
        <v>56.101819999999996</v>
      </c>
      <c r="G125" s="130">
        <f>7189.47014</f>
        <v>7189.4701400000004</v>
      </c>
      <c r="H125" s="130">
        <f t="shared" si="8"/>
        <v>1823.5298599999996</v>
      </c>
      <c r="I125" s="130">
        <f>6118.69496</f>
        <v>6118.6949599999998</v>
      </c>
      <c r="J125" s="244"/>
    </row>
    <row r="126" spans="1:10" ht="14.1" customHeight="1" x14ac:dyDescent="0.25">
      <c r="A126" s="202"/>
      <c r="B126" s="186"/>
      <c r="C126" s="59" t="s">
        <v>62</v>
      </c>
      <c r="D126" s="60">
        <v>9830</v>
      </c>
      <c r="E126" s="136">
        <v>11908</v>
      </c>
      <c r="F126" s="136">
        <f>1.66782</f>
        <v>1.6678200000000001</v>
      </c>
      <c r="G126" s="136">
        <f>6186.6146</f>
        <v>6186.6145999999999</v>
      </c>
      <c r="H126" s="136">
        <f t="shared" si="8"/>
        <v>5721.3854000000001</v>
      </c>
      <c r="I126" s="136">
        <f>6038.16958</f>
        <v>6038.1695799999998</v>
      </c>
      <c r="J126" s="244"/>
    </row>
    <row r="127" spans="1:10" ht="15.75" customHeight="1" x14ac:dyDescent="0.25">
      <c r="A127" s="1"/>
      <c r="B127" s="55"/>
      <c r="C127" s="38" t="s">
        <v>12</v>
      </c>
      <c r="D127" s="63">
        <v>4369</v>
      </c>
      <c r="E127" s="78">
        <v>5293</v>
      </c>
      <c r="F127" s="78">
        <f>81.32084</f>
        <v>81.320840000000004</v>
      </c>
      <c r="G127" s="78">
        <f>1833.5126</f>
        <v>1833.5126</v>
      </c>
      <c r="H127" s="78">
        <f t="shared" si="8"/>
        <v>3459.4874</v>
      </c>
      <c r="I127" s="78">
        <f>1526.12236</f>
        <v>1526.1223600000001</v>
      </c>
      <c r="J127" s="244"/>
    </row>
    <row r="128" spans="1:10" ht="15.75" customHeight="1" x14ac:dyDescent="0.25">
      <c r="A128" s="1"/>
      <c r="B128" s="55"/>
      <c r="C128" s="76" t="s">
        <v>37</v>
      </c>
      <c r="D128" s="93">
        <v>390</v>
      </c>
      <c r="E128" s="102">
        <v>390</v>
      </c>
      <c r="F128" s="102">
        <f>0</f>
        <v>0</v>
      </c>
      <c r="G128" s="102">
        <f>22.06678</f>
        <v>22.066780000000001</v>
      </c>
      <c r="H128" s="102">
        <f t="shared" si="8"/>
        <v>367.93322000000001</v>
      </c>
      <c r="I128" s="102">
        <f>35.20317</f>
        <v>35.20317</v>
      </c>
      <c r="J128" s="244"/>
    </row>
    <row r="129" spans="1:10" ht="18" customHeight="1" x14ac:dyDescent="0.25">
      <c r="A129" s="1"/>
      <c r="B129" s="254"/>
      <c r="C129" s="76" t="s">
        <v>63</v>
      </c>
      <c r="D129" s="148">
        <v>300</v>
      </c>
      <c r="E129" s="143">
        <v>300</v>
      </c>
      <c r="F129" s="143">
        <f>0.10626</f>
        <v>0.10625999999999999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25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486.26429000000002</v>
      </c>
      <c r="G133" s="80">
        <f t="shared" si="9"/>
        <v>72312.532929999987</v>
      </c>
      <c r="H133" s="80">
        <f>H117+H120+H128+H129+H130+H131+H132</f>
        <v>29323.467070000017</v>
      </c>
      <c r="I133" s="80">
        <f>I117+I120+I128+I129+I130+I131+I132</f>
        <v>83035.481379999983</v>
      </c>
      <c r="J133" s="244"/>
    </row>
    <row r="134" spans="1:10" ht="13.5" customHeight="1" x14ac:dyDescent="0.25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293" t="s">
        <v>147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25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25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25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877.94826999999998</v>
      </c>
      <c r="G154" s="11">
        <f t="shared" si="10"/>
        <v>51171.955310000005</v>
      </c>
      <c r="H154" s="11">
        <f t="shared" si="10"/>
        <v>11011.044689999999</v>
      </c>
      <c r="I154" s="11">
        <f t="shared" si="10"/>
        <v>50403.591059999999</v>
      </c>
      <c r="J154" s="244"/>
    </row>
    <row r="155" spans="1:10" ht="14.1" customHeight="1" x14ac:dyDescent="0.25">
      <c r="A155" s="1"/>
      <c r="B155" s="254"/>
      <c r="C155" s="47" t="s">
        <v>23</v>
      </c>
      <c r="D155" s="48">
        <v>52954</v>
      </c>
      <c r="E155" s="48">
        <v>49665</v>
      </c>
      <c r="F155" s="23">
        <f>877.94827</f>
        <v>877.94826999999998</v>
      </c>
      <c r="G155" s="23">
        <f>43385.72144</f>
        <v>43385.721440000001</v>
      </c>
      <c r="H155" s="23">
        <f>E155-G155</f>
        <v>6279.2785599999988</v>
      </c>
      <c r="I155" s="23">
        <f>44283.84329</f>
        <v>44283.843289999997</v>
      </c>
      <c r="J155" s="244"/>
    </row>
    <row r="156" spans="1:10" ht="15" customHeight="1" x14ac:dyDescent="0.25">
      <c r="A156" s="1"/>
      <c r="B156" s="254"/>
      <c r="C156" s="47" t="s">
        <v>24</v>
      </c>
      <c r="D156" s="48">
        <v>12738</v>
      </c>
      <c r="E156" s="48">
        <v>12018</v>
      </c>
      <c r="F156" s="23">
        <f>0</f>
        <v>0</v>
      </c>
      <c r="G156" s="23">
        <f>7786.23387</f>
        <v>7786.23387</v>
      </c>
      <c r="H156" s="23">
        <f>E156-G156</f>
        <v>4231.76613</v>
      </c>
      <c r="I156" s="23">
        <f>6119.74777</f>
        <v>6119.7477699999999</v>
      </c>
      <c r="J156" s="244"/>
    </row>
    <row r="157" spans="1:10" ht="13.5" customHeight="1" x14ac:dyDescent="0.25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76</v>
      </c>
      <c r="D158" s="94">
        <v>44724</v>
      </c>
      <c r="E158" s="94">
        <v>49007</v>
      </c>
      <c r="F158" s="98">
        <f>1676.529</f>
        <v>1676.529</v>
      </c>
      <c r="G158" s="98">
        <v>46278.536544999995</v>
      </c>
      <c r="H158" s="98">
        <f>E158-G158</f>
        <v>2728.4634550000046</v>
      </c>
      <c r="I158" s="98">
        <f>29676.24407</f>
        <v>29676.244070000001</v>
      </c>
      <c r="J158" s="119"/>
    </row>
    <row r="159" spans="1:10" ht="15.75" customHeight="1" x14ac:dyDescent="0.25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1374.7412299999999</v>
      </c>
      <c r="G159" s="97">
        <f t="shared" ref="G159" si="11">G160+G165+G168</f>
        <v>56178.012115000005</v>
      </c>
      <c r="H159" s="97">
        <f>H160+H165+H168</f>
        <v>13595.987884999999</v>
      </c>
      <c r="I159" s="97">
        <f>I160+I165+I168</f>
        <v>56933.290359999999</v>
      </c>
      <c r="J159" s="123"/>
    </row>
    <row r="160" spans="1:10" ht="14.1" customHeight="1" x14ac:dyDescent="0.25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1145.9700799999998</v>
      </c>
      <c r="G160" s="128">
        <f>G161+G162+G164+G163</f>
        <v>42994.429315000001</v>
      </c>
      <c r="H160" s="128">
        <f>H161+H162+H163+H164</f>
        <v>8990.5706849999988</v>
      </c>
      <c r="I160" s="128">
        <f>I161+I162+I163+I164</f>
        <v>44373.743130000003</v>
      </c>
      <c r="J160" s="280"/>
    </row>
    <row r="161" spans="1:10" ht="14.1" customHeight="1" x14ac:dyDescent="0.25">
      <c r="A161" s="202"/>
      <c r="B161" s="129"/>
      <c r="C161" s="64" t="s">
        <v>27</v>
      </c>
      <c r="D161" s="65">
        <v>13881</v>
      </c>
      <c r="E161" s="65">
        <v>15307</v>
      </c>
      <c r="F161" s="130">
        <f>241.59258</f>
        <v>241.59258</v>
      </c>
      <c r="G161" s="130">
        <v>8238.4486500000003</v>
      </c>
      <c r="H161" s="130">
        <f>E161-G161</f>
        <v>7068.5513499999997</v>
      </c>
      <c r="I161" s="130">
        <f>8578.22598</f>
        <v>8578.2259799999993</v>
      </c>
      <c r="J161" s="131"/>
    </row>
    <row r="162" spans="1:10" ht="14.1" customHeight="1" x14ac:dyDescent="0.25">
      <c r="A162" s="202"/>
      <c r="B162" s="186"/>
      <c r="C162" s="64" t="s">
        <v>60</v>
      </c>
      <c r="D162" s="65">
        <v>14224</v>
      </c>
      <c r="E162" s="65">
        <v>12859</v>
      </c>
      <c r="F162" s="130">
        <f>336.40655</f>
        <v>336.40654999999998</v>
      </c>
      <c r="G162" s="130">
        <v>11790.035445000001</v>
      </c>
      <c r="H162" s="130">
        <f>E162-G162</f>
        <v>1068.9645549999987</v>
      </c>
      <c r="I162" s="130">
        <f>10695.75948</f>
        <v>10695.759480000001</v>
      </c>
      <c r="J162" s="132"/>
    </row>
    <row r="163" spans="1:10" ht="14.1" customHeight="1" x14ac:dyDescent="0.25">
      <c r="A163" s="202"/>
      <c r="B163" s="186"/>
      <c r="C163" s="64" t="s">
        <v>61</v>
      </c>
      <c r="D163" s="65">
        <v>12986</v>
      </c>
      <c r="E163" s="65">
        <v>13695</v>
      </c>
      <c r="F163" s="130">
        <f>395.79155</f>
        <v>395.79154999999997</v>
      </c>
      <c r="G163" s="130">
        <v>11866.23963</v>
      </c>
      <c r="H163" s="130">
        <f>E163-G163</f>
        <v>1828.76037</v>
      </c>
      <c r="I163" s="130">
        <f>11832.14339</f>
        <v>11832.143389999999</v>
      </c>
      <c r="J163" s="132"/>
    </row>
    <row r="164" spans="1:10" ht="14.1" customHeight="1" x14ac:dyDescent="0.25">
      <c r="A164" s="202"/>
      <c r="B164" s="186"/>
      <c r="C164" s="64" t="s">
        <v>30</v>
      </c>
      <c r="D164" s="65">
        <v>11206</v>
      </c>
      <c r="E164" s="65">
        <v>10124</v>
      </c>
      <c r="F164" s="130">
        <f>172.1794</f>
        <v>172.17939999999999</v>
      </c>
      <c r="G164" s="130">
        <v>11099.70559</v>
      </c>
      <c r="H164" s="130">
        <f>E164-G164</f>
        <v>-975.70558999999957</v>
      </c>
      <c r="I164" s="130">
        <f>13267.61428</f>
        <v>13267.61428</v>
      </c>
      <c r="J164" s="132"/>
    </row>
    <row r="165" spans="1:10" ht="14.1" customHeight="1" x14ac:dyDescent="0.25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12</v>
      </c>
      <c r="D168" s="63">
        <v>9517</v>
      </c>
      <c r="E168" s="63">
        <v>9535</v>
      </c>
      <c r="F168" s="78">
        <f>218.8635</f>
        <v>218.86349999999999</v>
      </c>
      <c r="G168" s="78">
        <f>7174.97077</f>
        <v>7174.9707699999999</v>
      </c>
      <c r="H168" s="78">
        <f t="shared" si="12"/>
        <v>2360.0292300000001</v>
      </c>
      <c r="I168" s="78">
        <f>7180.39604</f>
        <v>7180.3960399999996</v>
      </c>
      <c r="J168" s="123"/>
    </row>
    <row r="169" spans="1:10" ht="15.75" customHeight="1" x14ac:dyDescent="0.25">
      <c r="A169" s="1"/>
      <c r="B169" s="254"/>
      <c r="C169" s="147" t="s">
        <v>37</v>
      </c>
      <c r="D169" s="148">
        <v>142</v>
      </c>
      <c r="E169" s="148">
        <v>142</v>
      </c>
      <c r="F169" s="143">
        <f>0</f>
        <v>0</v>
      </c>
      <c r="G169" s="143">
        <f>24.47327</f>
        <v>24.473269999999999</v>
      </c>
      <c r="H169" s="143">
        <f t="shared" si="12"/>
        <v>117.52673</v>
      </c>
      <c r="I169" s="143">
        <f>21.06976</f>
        <v>21.069759999999999</v>
      </c>
      <c r="J169" s="123"/>
    </row>
    <row r="170" spans="1:10" ht="15.75" customHeight="1" x14ac:dyDescent="0.25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81</v>
      </c>
      <c r="D171" s="148">
        <v>2000</v>
      </c>
      <c r="E171" s="148">
        <v>2000</v>
      </c>
      <c r="F171" s="143">
        <f>10.41854</f>
        <v>10.41854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25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25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3940.5190399999997</v>
      </c>
      <c r="G176" s="80">
        <f>G154+G158+G159+G169+G170+G171+G172+G173+G174</f>
        <v>156387.78003999998</v>
      </c>
      <c r="H176" s="80">
        <f>H154+H158+H159+H169+H170+H171+H172+H173+H174</f>
        <v>27025.219960000024</v>
      </c>
      <c r="I176" s="80">
        <f>I154+I158+I159+I169+I170+I171+I172+I173+I174</f>
        <v>139719.98695000002</v>
      </c>
      <c r="J176" s="164"/>
    </row>
    <row r="177" spans="1:10" ht="14.25" customHeight="1" x14ac:dyDescent="0.25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293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294" t="s">
        <v>148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25">
      <c r="A201" s="1"/>
      <c r="B201" s="254"/>
      <c r="C201" s="145" t="s">
        <v>89</v>
      </c>
      <c r="D201" s="97">
        <v>5082</v>
      </c>
      <c r="E201" s="276">
        <f>13.42638</f>
        <v>13.42638</v>
      </c>
      <c r="F201" s="276">
        <f>1901.39796</f>
        <v>1901.39796</v>
      </c>
      <c r="G201" s="45">
        <f>D201-F201-F202</f>
        <v>1625.2797699999999</v>
      </c>
      <c r="H201" s="276">
        <f>1622.34813</f>
        <v>1622.3481300000001</v>
      </c>
      <c r="I201" s="1"/>
      <c r="J201" s="123"/>
    </row>
    <row r="202" spans="1:10" ht="14.1" customHeight="1" x14ac:dyDescent="0.25">
      <c r="A202" s="1"/>
      <c r="B202" s="254"/>
      <c r="C202" s="141" t="s">
        <v>62</v>
      </c>
      <c r="D202" s="185"/>
      <c r="E202" s="156">
        <f>0.03472</f>
        <v>3.4720000000000001E-2</v>
      </c>
      <c r="F202" s="156">
        <f>1555.32227</f>
        <v>1555.3222699999999</v>
      </c>
      <c r="G202" s="217"/>
      <c r="H202" s="156">
        <f>1841.82225</f>
        <v>1841.8222499999999</v>
      </c>
      <c r="I202" s="1"/>
      <c r="J202" s="123"/>
    </row>
    <row r="203" spans="1:10" ht="15.6" customHeight="1" x14ac:dyDescent="0.25">
      <c r="A203" s="1"/>
      <c r="B203" s="254"/>
      <c r="C203" s="173" t="s">
        <v>90</v>
      </c>
      <c r="D203" s="102">
        <v>200</v>
      </c>
      <c r="E203" s="176">
        <f>0</f>
        <v>0</v>
      </c>
      <c r="F203" s="176">
        <f>50.9785</f>
        <v>50.978499999999997</v>
      </c>
      <c r="G203" s="176">
        <f>D203-F203</f>
        <v>149.0215</v>
      </c>
      <c r="H203" s="176">
        <f>87.79279</f>
        <v>87.792789999999997</v>
      </c>
      <c r="I203" s="1"/>
      <c r="J203" s="123"/>
    </row>
    <row r="204" spans="1:10" ht="14.1" customHeight="1" x14ac:dyDescent="0.25">
      <c r="A204" s="70"/>
      <c r="B204" s="82"/>
      <c r="C204" s="184" t="s">
        <v>91</v>
      </c>
      <c r="D204" s="185">
        <v>7622</v>
      </c>
      <c r="E204" s="185">
        <f>E205+E206+E207</f>
        <v>21.792639999999999</v>
      </c>
      <c r="F204" s="185">
        <f>F205+F206+F207</f>
        <v>7688.0452100000002</v>
      </c>
      <c r="G204" s="185">
        <f>D204-F204</f>
        <v>-66.045210000000225</v>
      </c>
      <c r="H204" s="185">
        <f>H205+H206+H207</f>
        <v>8024.2098100000003</v>
      </c>
      <c r="I204" s="70"/>
      <c r="J204" s="119"/>
    </row>
    <row r="205" spans="1:10" ht="14.1" customHeight="1" x14ac:dyDescent="0.25">
      <c r="A205" s="202"/>
      <c r="B205" s="186"/>
      <c r="C205" s="187" t="s">
        <v>92</v>
      </c>
      <c r="D205" s="130"/>
      <c r="E205" s="130">
        <f>2.52946</f>
        <v>2.5294599999999998</v>
      </c>
      <c r="F205" s="130">
        <f>3944.97382</f>
        <v>3944.9738200000002</v>
      </c>
      <c r="G205" s="130"/>
      <c r="H205" s="130">
        <f>4067.86358</f>
        <v>4067.8635800000002</v>
      </c>
      <c r="I205" s="191"/>
      <c r="J205" s="132"/>
    </row>
    <row r="206" spans="1:10" ht="14.1" customHeight="1" x14ac:dyDescent="0.25">
      <c r="A206" s="202"/>
      <c r="B206" s="186"/>
      <c r="C206" s="187" t="s">
        <v>93</v>
      </c>
      <c r="D206" s="130"/>
      <c r="E206" s="130">
        <f>14.68099</f>
        <v>14.68099</v>
      </c>
      <c r="F206" s="130">
        <f>2446.91151</f>
        <v>2446.9115099999999</v>
      </c>
      <c r="G206" s="130"/>
      <c r="H206" s="130">
        <f>2468.1323</f>
        <v>2468.1323000000002</v>
      </c>
      <c r="I206" s="191"/>
      <c r="J206" s="192"/>
    </row>
    <row r="207" spans="1:10" ht="14.1" customHeight="1" x14ac:dyDescent="0.25">
      <c r="A207" s="202"/>
      <c r="B207" s="186"/>
      <c r="C207" s="193" t="s">
        <v>94</v>
      </c>
      <c r="D207" s="196"/>
      <c r="E207" s="196">
        <f>4.58219</f>
        <v>4.5821899999999998</v>
      </c>
      <c r="F207" s="196">
        <f>1296.15988</f>
        <v>1296.1598799999999</v>
      </c>
      <c r="G207" s="196"/>
      <c r="H207" s="196">
        <f>1488.21393</f>
        <v>1488.2139299999999</v>
      </c>
      <c r="I207" s="191"/>
      <c r="J207" s="192"/>
    </row>
    <row r="208" spans="1:10" ht="14.1" customHeight="1" x14ac:dyDescent="0.25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35.253740000000001</v>
      </c>
      <c r="F210" s="198">
        <f>F201+F202+F203+F204+F208+F209</f>
        <v>11195.74394</v>
      </c>
      <c r="G210" s="198">
        <f>D210-F210</f>
        <v>1779.2560599999997</v>
      </c>
      <c r="H210" s="198">
        <f>H201+H202+H203+H204+H208+H209</f>
        <v>11576.802179999999</v>
      </c>
      <c r="I210" s="167"/>
      <c r="J210" s="164"/>
    </row>
    <row r="211" spans="1:10" ht="42" customHeight="1" x14ac:dyDescent="0.25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0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141</v>
      </c>
      <c r="B216" s="1"/>
      <c r="C216" s="210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25">
      <c r="A230" s="1"/>
      <c r="B230" s="254"/>
      <c r="C230" s="90" t="s">
        <v>5</v>
      </c>
      <c r="D230" s="124">
        <v>44139</v>
      </c>
      <c r="E230" s="124">
        <f>229.70768</f>
        <v>229.70768000000001</v>
      </c>
      <c r="F230" s="124">
        <f>36068.62018</f>
        <v>36068.620179999998</v>
      </c>
      <c r="G230" s="124">
        <f>D230-F230</f>
        <v>8070.3798200000019</v>
      </c>
      <c r="H230" s="124">
        <f>42491.47801</f>
        <v>42491.478009999999</v>
      </c>
      <c r="I230" s="248"/>
      <c r="J230" s="123"/>
    </row>
    <row r="231" spans="1:10" ht="15" customHeight="1" x14ac:dyDescent="0.25">
      <c r="A231" s="1"/>
      <c r="B231" s="254"/>
      <c r="C231" s="90" t="s">
        <v>79</v>
      </c>
      <c r="D231" s="124">
        <v>100</v>
      </c>
      <c r="E231" s="124">
        <f>0.025</f>
        <v>2.5000000000000001E-2</v>
      </c>
      <c r="F231" s="124">
        <f>58.20481</f>
        <v>58.204810000000002</v>
      </c>
      <c r="G231" s="124">
        <f>D231-F231</f>
        <v>41.795189999999998</v>
      </c>
      <c r="H231" s="124">
        <f>30.02168</f>
        <v>30.02168</v>
      </c>
      <c r="I231" s="248"/>
      <c r="J231" s="123"/>
    </row>
    <row r="232" spans="1:10" ht="15.75" customHeight="1" x14ac:dyDescent="0.25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105</v>
      </c>
      <c r="D233" s="190">
        <f>SUM(D230:D232)</f>
        <v>44291</v>
      </c>
      <c r="E233" s="190">
        <f>SUM(E230:E232)</f>
        <v>229.73268000000002</v>
      </c>
      <c r="F233" s="190">
        <f>SUM(F230:F232)</f>
        <v>36126.824990000001</v>
      </c>
      <c r="G233" s="190">
        <f>D233-F233</f>
        <v>8164.175009999999</v>
      </c>
      <c r="H233" s="190">
        <f>SUM(H230:H232)</f>
        <v>42521.499689999997</v>
      </c>
      <c r="I233" s="248"/>
      <c r="J233" s="123"/>
    </row>
    <row r="234" spans="1:10" ht="17.100000000000001" customHeight="1" x14ac:dyDescent="0.25">
      <c r="A234" s="1"/>
      <c r="B234" s="169"/>
      <c r="C234" s="201" t="s">
        <v>106</v>
      </c>
      <c r="D234" s="110"/>
      <c r="E234" s="110"/>
      <c r="F234" s="208"/>
      <c r="G234" s="208"/>
      <c r="H234" s="208"/>
      <c r="I234" s="208"/>
      <c r="J234" s="21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25">
      <c r="A284" s="70"/>
      <c r="B284" s="82"/>
      <c r="C284" s="90" t="s">
        <v>113</v>
      </c>
      <c r="D284" s="10">
        <v>1865</v>
      </c>
      <c r="E284" s="124">
        <f>19.95634</f>
        <v>19.956340000000001</v>
      </c>
      <c r="F284" s="124">
        <f>331.65921</f>
        <v>331.65920999999997</v>
      </c>
      <c r="G284" s="45">
        <f>D284-F284-F285</f>
        <v>-13.242340000000013</v>
      </c>
      <c r="H284" s="124">
        <f>465.39857</f>
        <v>465.39857000000001</v>
      </c>
      <c r="I284" s="70"/>
      <c r="J284" s="244"/>
    </row>
    <row r="285" spans="1:10" ht="14.1" customHeight="1" x14ac:dyDescent="0.25">
      <c r="A285" s="1"/>
      <c r="B285" s="254"/>
      <c r="C285" s="90" t="s">
        <v>114</v>
      </c>
      <c r="D285" s="221"/>
      <c r="E285" s="124">
        <f>23.38136</f>
        <v>23.381360000000001</v>
      </c>
      <c r="F285" s="124">
        <f>1546.58313</f>
        <v>1546.58313</v>
      </c>
      <c r="G285" s="140"/>
      <c r="H285" s="124">
        <f>963.70686</f>
        <v>963.70686000000001</v>
      </c>
      <c r="I285" s="183"/>
      <c r="J285" s="119"/>
    </row>
    <row r="286" spans="1:10" ht="16.5" customHeight="1" x14ac:dyDescent="0.25">
      <c r="A286" s="70"/>
      <c r="B286" s="82"/>
      <c r="C286" s="146" t="s">
        <v>95</v>
      </c>
      <c r="D286" s="246">
        <v>5</v>
      </c>
      <c r="E286" s="168">
        <f>0.012</f>
        <v>1.2E-2</v>
      </c>
      <c r="F286" s="168">
        <f>0.9702</f>
        <v>0.97019999999999995</v>
      </c>
      <c r="G286" s="124">
        <f>D286-F286</f>
        <v>4.0297999999999998</v>
      </c>
      <c r="H286" s="168">
        <f>1.389</f>
        <v>1.389</v>
      </c>
      <c r="I286" s="70"/>
      <c r="J286" s="249"/>
    </row>
    <row r="287" spans="1:10" ht="18.75" customHeight="1" x14ac:dyDescent="0.25">
      <c r="A287" s="70"/>
      <c r="B287" s="250"/>
      <c r="C287" s="146" t="s">
        <v>115</v>
      </c>
      <c r="D287" s="222"/>
      <c r="E287" s="168">
        <f>0</f>
        <v>0</v>
      </c>
      <c r="F287" s="168">
        <f>6.84606</f>
        <v>6.8460599999999996</v>
      </c>
      <c r="G287" s="124"/>
      <c r="H287" s="168">
        <f>2.82656</f>
        <v>2.8265600000000002</v>
      </c>
      <c r="I287" s="284"/>
      <c r="J287" s="123"/>
    </row>
    <row r="288" spans="1:10" ht="14.1" customHeight="1" x14ac:dyDescent="0.25">
      <c r="A288" s="1"/>
      <c r="B288" s="254"/>
      <c r="C288" s="179" t="s">
        <v>105</v>
      </c>
      <c r="D288" s="6">
        <f>D273</f>
        <v>1870</v>
      </c>
      <c r="E288" s="190">
        <f>SUM(E284:E287)</f>
        <v>43.349699999999999</v>
      </c>
      <c r="F288" s="190">
        <f>SUM(F284:F287)</f>
        <v>1886.0586000000001</v>
      </c>
      <c r="G288" s="190">
        <f>D288-F288</f>
        <v>-16.058600000000069</v>
      </c>
      <c r="H288" s="190">
        <f>H284+H285+H286+H287</f>
        <v>1433.3209899999999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141</v>
      </c>
    </row>
    <row r="292" spans="1:10" ht="14.1" customHeight="1" x14ac:dyDescent="0.25">
      <c r="A292" s="1" t="s">
        <v>141</v>
      </c>
    </row>
    <row r="293" spans="1:10" ht="14.1" customHeight="1" x14ac:dyDescent="0.25">
      <c r="A293" s="1" t="s">
        <v>141</v>
      </c>
    </row>
    <row r="294" spans="1:10" ht="14.1" customHeight="1" x14ac:dyDescent="0.25">
      <c r="A294" s="1"/>
      <c r="C294" s="154" t="s">
        <v>141</v>
      </c>
    </row>
    <row r="295" spans="1:10" ht="36" customHeight="1" x14ac:dyDescent="0.25">
      <c r="A295" s="1"/>
      <c r="C295" s="154" t="s">
        <v>141</v>
      </c>
    </row>
    <row r="296" spans="1:10" ht="14.1" customHeight="1" x14ac:dyDescent="0.25">
      <c r="A296" s="1"/>
      <c r="C296" s="154" t="s">
        <v>141</v>
      </c>
    </row>
    <row r="297" spans="1:10" ht="14.1" customHeight="1" x14ac:dyDescent="0.25">
      <c r="A297" s="1"/>
      <c r="C297" s="154" t="s">
        <v>141</v>
      </c>
    </row>
    <row r="298" spans="1:10" ht="30" customHeight="1" x14ac:dyDescent="0.35">
      <c r="A298" s="218"/>
      <c r="B298" s="1"/>
      <c r="C298" s="210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25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25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573.28625999999997</v>
      </c>
      <c r="G314" s="253">
        <f t="shared" si="14"/>
        <v>8329.4323299999996</v>
      </c>
      <c r="H314" s="253">
        <f>H318+H317+H316+H315</f>
        <v>3774.5676699999999</v>
      </c>
      <c r="I314" s="253">
        <f t="shared" si="14"/>
        <v>12586.31738</v>
      </c>
      <c r="J314" s="133"/>
    </row>
    <row r="315" spans="1:10" ht="14.1" customHeight="1" x14ac:dyDescent="0.25">
      <c r="A315" s="218"/>
      <c r="B315" s="75"/>
      <c r="C315" s="255" t="s">
        <v>125</v>
      </c>
      <c r="D315" s="256">
        <v>3000</v>
      </c>
      <c r="E315" s="256">
        <v>5258</v>
      </c>
      <c r="F315" s="257">
        <f>496.91654</f>
        <v>496.91654</v>
      </c>
      <c r="G315" s="257">
        <f>5496.20107</f>
        <v>5496.2010700000001</v>
      </c>
      <c r="H315" s="257">
        <f t="shared" ref="H315:H319" si="15">E315-G315</f>
        <v>-238.20107000000007</v>
      </c>
      <c r="I315" s="257">
        <f>7768.21189</f>
        <v>7768.2118899999996</v>
      </c>
      <c r="J315" s="133"/>
    </row>
    <row r="316" spans="1:10" ht="14.1" customHeight="1" x14ac:dyDescent="0.25">
      <c r="A316" s="218"/>
      <c r="B316" s="75"/>
      <c r="C316" s="260" t="s">
        <v>24</v>
      </c>
      <c r="D316" s="256">
        <v>781</v>
      </c>
      <c r="E316" s="256">
        <v>1369</v>
      </c>
      <c r="F316" s="257">
        <f>0</f>
        <v>0</v>
      </c>
      <c r="G316" s="257">
        <f>553.51215</f>
        <v>553.51215000000002</v>
      </c>
      <c r="H316" s="257">
        <f t="shared" si="15"/>
        <v>815.48784999999998</v>
      </c>
      <c r="I316" s="257">
        <f>1066.7822</f>
        <v>1066.7822000000001</v>
      </c>
      <c r="J316" s="133"/>
    </row>
    <row r="317" spans="1:10" ht="14.1" customHeight="1" x14ac:dyDescent="0.25">
      <c r="A317" s="218"/>
      <c r="B317" s="75"/>
      <c r="C317" s="260" t="s">
        <v>120</v>
      </c>
      <c r="D317" s="256">
        <v>1225</v>
      </c>
      <c r="E317" s="256">
        <v>1283</v>
      </c>
      <c r="F317" s="257">
        <f>58.73652</f>
        <v>58.736519999999999</v>
      </c>
      <c r="G317" s="257">
        <f>1465.20931</f>
        <v>1465.20931</v>
      </c>
      <c r="H317" s="257">
        <f t="shared" si="15"/>
        <v>-182.20930999999996</v>
      </c>
      <c r="I317" s="257">
        <f>1410.15964</f>
        <v>1410.1596400000001</v>
      </c>
      <c r="J317" s="133"/>
    </row>
    <row r="318" spans="1:10" ht="14.1" customHeight="1" x14ac:dyDescent="0.25">
      <c r="A318" s="218"/>
      <c r="B318" s="75"/>
      <c r="C318" s="262" t="s">
        <v>126</v>
      </c>
      <c r="D318" s="263">
        <v>4103</v>
      </c>
      <c r="E318" s="263">
        <v>4194</v>
      </c>
      <c r="F318" s="257">
        <f>17.6332</f>
        <v>17.633199999999999</v>
      </c>
      <c r="G318" s="257">
        <f>814.5098</f>
        <v>814.50980000000004</v>
      </c>
      <c r="H318" s="257">
        <f t="shared" si="15"/>
        <v>3379.4902000000002</v>
      </c>
      <c r="I318" s="257">
        <f>2341.16365</f>
        <v>2341.16365</v>
      </c>
      <c r="J318" s="133"/>
    </row>
    <row r="319" spans="1:10" ht="14.1" customHeight="1" x14ac:dyDescent="0.25">
      <c r="A319" s="218"/>
      <c r="B319" s="75"/>
      <c r="C319" s="265" t="s">
        <v>70</v>
      </c>
      <c r="D319" s="266">
        <v>5500</v>
      </c>
      <c r="E319" s="266">
        <v>5500</v>
      </c>
      <c r="F319" s="268">
        <f>0.112</f>
        <v>0.112</v>
      </c>
      <c r="G319" s="268">
        <f>4548.10968</f>
        <v>4548.1096799999996</v>
      </c>
      <c r="H319" s="268">
        <f t="shared" si="15"/>
        <v>951.89032000000043</v>
      </c>
      <c r="I319" s="268">
        <f>2203.21413</f>
        <v>2203.2141299999998</v>
      </c>
      <c r="J319" s="133"/>
    </row>
    <row r="320" spans="1:10" ht="14.1" customHeight="1" x14ac:dyDescent="0.25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170.56018</v>
      </c>
      <c r="G320" s="269">
        <f>G322+G321</f>
        <v>3909.0697399999999</v>
      </c>
      <c r="H320" s="269">
        <f>E320-G320</f>
        <v>4090.9302600000001</v>
      </c>
      <c r="I320" s="269">
        <f>I322+I321</f>
        <v>2859.0784599999997</v>
      </c>
      <c r="J320" s="133"/>
    </row>
    <row r="321" spans="1:10" ht="14.1" customHeight="1" x14ac:dyDescent="0.25">
      <c r="A321" s="218"/>
      <c r="B321" s="75"/>
      <c r="C321" s="260" t="s">
        <v>62</v>
      </c>
      <c r="D321" s="271"/>
      <c r="E321" s="256"/>
      <c r="F321" s="257">
        <f>4.944</f>
        <v>4.944</v>
      </c>
      <c r="G321" s="257">
        <f>1149.49055</f>
        <v>1149.49055</v>
      </c>
      <c r="H321" s="257"/>
      <c r="I321" s="257">
        <f>12.45243</f>
        <v>12.45243</v>
      </c>
      <c r="J321" s="133"/>
    </row>
    <row r="322" spans="1:10" ht="14.1" customHeight="1" x14ac:dyDescent="0.25">
      <c r="A322" s="218"/>
      <c r="B322" s="75"/>
      <c r="C322" s="273" t="s">
        <v>127</v>
      </c>
      <c r="D322" s="274"/>
      <c r="E322" s="277"/>
      <c r="F322" s="278">
        <f>165.61618</f>
        <v>165.61618000000001</v>
      </c>
      <c r="G322" s="278">
        <f>2759.57919</f>
        <v>2759.5791899999999</v>
      </c>
      <c r="H322" s="278"/>
      <c r="I322" s="278">
        <f>2846.62603</f>
        <v>2846.6260299999999</v>
      </c>
      <c r="J322" s="133"/>
    </row>
    <row r="323" spans="1:10" ht="14.1" customHeight="1" x14ac:dyDescent="0.25">
      <c r="A323" s="218"/>
      <c r="B323" s="75"/>
      <c r="C323" s="265" t="s">
        <v>37</v>
      </c>
      <c r="D323" s="266">
        <v>10</v>
      </c>
      <c r="E323" s="266">
        <v>10</v>
      </c>
      <c r="F323" s="268">
        <f>0.03375</f>
        <v>3.3750000000000002E-2</v>
      </c>
      <c r="G323" s="268">
        <f>0.4293</f>
        <v>0.42930000000000001</v>
      </c>
      <c r="H323" s="268">
        <f>E323-G323</f>
        <v>9.5707000000000004</v>
      </c>
      <c r="I323" s="268">
        <f>0.3915</f>
        <v>0.39150000000000001</v>
      </c>
      <c r="J323" s="133"/>
    </row>
    <row r="324" spans="1:10" ht="14.1" customHeight="1" x14ac:dyDescent="0.25">
      <c r="A324" s="218"/>
      <c r="B324" s="75"/>
      <c r="C324" s="279" t="s">
        <v>128</v>
      </c>
      <c r="D324" s="282"/>
      <c r="E324" s="283"/>
      <c r="F324" s="268">
        <f>0.05776</f>
        <v>5.7759999999999999E-2</v>
      </c>
      <c r="G324" s="268">
        <f>239.8852</f>
        <v>239.8852</v>
      </c>
      <c r="H324" s="268">
        <f>E324-G324</f>
        <v>-239.8852</v>
      </c>
      <c r="I324" s="268">
        <f>30.94032</f>
        <v>30.94032</v>
      </c>
      <c r="J324" s="133"/>
    </row>
    <row r="325" spans="1:10" ht="19.5" customHeight="1" x14ac:dyDescent="0.25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744.04994999999997</v>
      </c>
      <c r="G325" s="287">
        <f t="shared" si="16"/>
        <v>17026.92625</v>
      </c>
      <c r="H325" s="287">
        <f>H314+H319+H320+H323+H324</f>
        <v>8587.0737499999996</v>
      </c>
      <c r="I325" s="287">
        <f t="shared" si="16"/>
        <v>17679.941790000004</v>
      </c>
      <c r="J325" s="133"/>
    </row>
    <row r="326" spans="1:10" ht="14.1" customHeight="1" x14ac:dyDescent="0.25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141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25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9</v>
      </c>
      <c r="D348" s="209"/>
      <c r="E348" s="212">
        <f>0</f>
        <v>0</v>
      </c>
      <c r="F348" s="212">
        <f>1081.99515</f>
        <v>1081.99515</v>
      </c>
      <c r="G348" s="213"/>
      <c r="H348" s="212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12</v>
      </c>
      <c r="D349" s="214"/>
      <c r="E349" s="215">
        <f>0</f>
        <v>0</v>
      </c>
      <c r="F349" s="215">
        <f>304.98618</f>
        <v>304.98617999999999</v>
      </c>
      <c r="G349" s="216"/>
      <c r="H349" s="215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1810.1478699999998</v>
      </c>
      <c r="G350" s="88">
        <f>D350-F350</f>
        <v>-250.14786999999978</v>
      </c>
      <c r="H350" s="26">
        <f>SUM(H351:H352)</f>
        <v>1302.9703000000002</v>
      </c>
      <c r="I350" s="27"/>
      <c r="J350" s="133"/>
    </row>
    <row r="351" spans="1:10" ht="14.1" customHeight="1" x14ac:dyDescent="0.25">
      <c r="A351" s="218"/>
      <c r="B351" s="75"/>
      <c r="C351" s="29" t="s">
        <v>9</v>
      </c>
      <c r="D351" s="44"/>
      <c r="E351" s="30">
        <f>0</f>
        <v>0</v>
      </c>
      <c r="F351" s="30">
        <f>1412.5149</f>
        <v>1412.5148999999999</v>
      </c>
      <c r="G351" s="100"/>
      <c r="H351" s="30">
        <f>1057.0956</f>
        <v>1057.0956000000001</v>
      </c>
      <c r="I351" s="154"/>
      <c r="J351" s="133"/>
    </row>
    <row r="352" spans="1:10" ht="14.1" customHeight="1" x14ac:dyDescent="0.25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140</v>
      </c>
      <c r="D353" s="10">
        <v>1560</v>
      </c>
      <c r="E353" s="36">
        <f>SUM(E354:E355)</f>
        <v>40.522500000000001</v>
      </c>
      <c r="F353" s="36">
        <f>SUM(F354:F355)</f>
        <v>447.26922000000002</v>
      </c>
      <c r="G353" s="88">
        <f>D353-F353</f>
        <v>1112.7307799999999</v>
      </c>
      <c r="H353" s="36">
        <f>SUM(H354:H355)</f>
        <v>402.62898000000001</v>
      </c>
      <c r="I353" s="154"/>
      <c r="J353" s="133"/>
    </row>
    <row r="354" spans="1:10" ht="14.1" customHeight="1" x14ac:dyDescent="0.25">
      <c r="A354" s="218"/>
      <c r="B354" s="75"/>
      <c r="C354" s="29" t="s">
        <v>9</v>
      </c>
      <c r="D354" s="44"/>
      <c r="E354" s="30">
        <f>31.616</f>
        <v>31.616</v>
      </c>
      <c r="F354" s="30">
        <f>362.22398</f>
        <v>362.22397999999998</v>
      </c>
      <c r="G354" s="100"/>
      <c r="H354" s="30">
        <f>347.495</f>
        <v>347.495</v>
      </c>
      <c r="I354" s="154"/>
      <c r="J354" s="133"/>
    </row>
    <row r="355" spans="1:10" ht="14.1" customHeight="1" x14ac:dyDescent="0.25">
      <c r="A355" s="218"/>
      <c r="B355" s="75"/>
      <c r="C355" s="29" t="s">
        <v>12</v>
      </c>
      <c r="D355" s="221"/>
      <c r="E355" s="30">
        <f>8.9065</f>
        <v>8.9064999999999994</v>
      </c>
      <c r="F355" s="30">
        <f>85.04524</f>
        <v>85.045240000000007</v>
      </c>
      <c r="G355" s="111"/>
      <c r="H355" s="30">
        <f>55.13398</f>
        <v>55.133980000000001</v>
      </c>
      <c r="I355" s="154"/>
      <c r="J355" s="133"/>
    </row>
    <row r="356" spans="1:10" ht="14.1" customHeight="1" x14ac:dyDescent="0.25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40.522500000000001</v>
      </c>
      <c r="F357" s="42">
        <f>F347+F350+F353+F356</f>
        <v>3644.39842</v>
      </c>
      <c r="G357" s="43">
        <f>SUM(G347:G356)</f>
        <v>861.60158000000001</v>
      </c>
      <c r="H357" s="42">
        <f>H347+H350+H353+H356</f>
        <v>3515.5209399999999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08"/>
      <c r="D359" s="204"/>
      <c r="E359" s="208"/>
      <c r="F359" s="208"/>
      <c r="G359" s="208"/>
      <c r="H359" s="208"/>
      <c r="I359" s="208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C53:H53"/>
    <mergeCell ref="D56:D60"/>
    <mergeCell ref="G56:G60"/>
    <mergeCell ref="C106:D106"/>
    <mergeCell ref="E106:F106"/>
    <mergeCell ref="G106:H10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2022-08-03T07:21:44Z</cp:lastPrinted>
  <dcterms:created xsi:type="dcterms:W3CDTF">2022-08-01T13:23:35Z</dcterms:created>
  <dcterms:modified xsi:type="dcterms:W3CDTF">2022-10-10T13:02:22Z</dcterms:modified>
</cp:coreProperties>
</file>