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3\"/>
    </mc:Choice>
  </mc:AlternateContent>
  <xr:revisionPtr revIDLastSave="0" documentId="13_ncr:1_{08072684-07F6-42B2-81F1-A6733877778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/>
  <c r="F55" i="1"/>
  <c r="H419" i="1"/>
  <c r="F419" i="1"/>
  <c r="E419" i="1"/>
  <c r="H418" i="1"/>
  <c r="H417" i="1" s="1"/>
  <c r="F418" i="1"/>
  <c r="F417" i="1" s="1"/>
  <c r="E418" i="1"/>
  <c r="E417" i="1"/>
  <c r="H416" i="1"/>
  <c r="F416" i="1"/>
  <c r="E416" i="1"/>
  <c r="H415" i="1"/>
  <c r="H414" i="1" s="1"/>
  <c r="F415" i="1"/>
  <c r="F414" i="1" s="1"/>
  <c r="E415" i="1"/>
  <c r="E414" i="1" s="1"/>
  <c r="H413" i="1"/>
  <c r="F413" i="1"/>
  <c r="F411" i="1" s="1"/>
  <c r="E413" i="1"/>
  <c r="H412" i="1"/>
  <c r="H411" i="1" s="1"/>
  <c r="F412" i="1"/>
  <c r="E412" i="1"/>
  <c r="E411" i="1" s="1"/>
  <c r="I388" i="1"/>
  <c r="H388" i="1"/>
  <c r="G388" i="1"/>
  <c r="F388" i="1"/>
  <c r="I387" i="1"/>
  <c r="H387" i="1"/>
  <c r="G387" i="1"/>
  <c r="F387" i="1"/>
  <c r="I386" i="1"/>
  <c r="I384" i="1" s="1"/>
  <c r="G386" i="1"/>
  <c r="G384" i="1" s="1"/>
  <c r="H384" i="1" s="1"/>
  <c r="F386" i="1"/>
  <c r="I385" i="1"/>
  <c r="G385" i="1"/>
  <c r="F385" i="1"/>
  <c r="F384" i="1" s="1"/>
  <c r="I383" i="1"/>
  <c r="H383" i="1"/>
  <c r="G383" i="1"/>
  <c r="F383" i="1"/>
  <c r="I382" i="1"/>
  <c r="H382" i="1"/>
  <c r="G382" i="1"/>
  <c r="F382" i="1"/>
  <c r="I381" i="1"/>
  <c r="H381" i="1"/>
  <c r="H378" i="1" s="1"/>
  <c r="G381" i="1"/>
  <c r="F381" i="1"/>
  <c r="F378" i="1" s="1"/>
  <c r="F389" i="1" s="1"/>
  <c r="I380" i="1"/>
  <c r="H380" i="1"/>
  <c r="G380" i="1"/>
  <c r="F380" i="1"/>
  <c r="I379" i="1"/>
  <c r="I378" i="1" s="1"/>
  <c r="H379" i="1"/>
  <c r="G379" i="1"/>
  <c r="F379" i="1"/>
  <c r="G378" i="1"/>
  <c r="E378" i="1"/>
  <c r="E389" i="1" s="1"/>
  <c r="D378" i="1"/>
  <c r="D389" i="1" s="1"/>
  <c r="H370" i="1"/>
  <c r="F370" i="1"/>
  <c r="D352" i="1"/>
  <c r="H351" i="1"/>
  <c r="F351" i="1"/>
  <c r="E351" i="1"/>
  <c r="H350" i="1"/>
  <c r="G350" i="1"/>
  <c r="F350" i="1"/>
  <c r="E350" i="1"/>
  <c r="H349" i="1"/>
  <c r="G349" i="1"/>
  <c r="F349" i="1"/>
  <c r="E349" i="1"/>
  <c r="H348" i="1"/>
  <c r="H352" i="1" s="1"/>
  <c r="G348" i="1"/>
  <c r="F348" i="1"/>
  <c r="F352" i="1" s="1"/>
  <c r="G352" i="1" s="1"/>
  <c r="E348" i="1"/>
  <c r="E352" i="1" s="1"/>
  <c r="D341" i="1"/>
  <c r="F297" i="1"/>
  <c r="G297" i="1" s="1"/>
  <c r="H296" i="1"/>
  <c r="F296" i="1"/>
  <c r="E296" i="1"/>
  <c r="H295" i="1"/>
  <c r="F295" i="1"/>
  <c r="E295" i="1"/>
  <c r="H294" i="1"/>
  <c r="H297" i="1" s="1"/>
  <c r="F294" i="1"/>
  <c r="E294" i="1"/>
  <c r="E297" i="1" s="1"/>
  <c r="E252" i="1"/>
  <c r="H251" i="1"/>
  <c r="F251" i="1"/>
  <c r="E251" i="1"/>
  <c r="H250" i="1"/>
  <c r="F250" i="1"/>
  <c r="E250" i="1"/>
  <c r="H249" i="1"/>
  <c r="H252" i="1" s="1"/>
  <c r="F249" i="1"/>
  <c r="F252" i="1" s="1"/>
  <c r="G252" i="1" s="1"/>
  <c r="E249" i="1"/>
  <c r="H207" i="1"/>
  <c r="D207" i="1"/>
  <c r="G206" i="1"/>
  <c r="H205" i="1"/>
  <c r="F205" i="1"/>
  <c r="G205" i="1" s="1"/>
  <c r="E205" i="1"/>
  <c r="H204" i="1"/>
  <c r="F204" i="1"/>
  <c r="F207" i="1" s="1"/>
  <c r="E204" i="1"/>
  <c r="E207" i="1" s="1"/>
  <c r="D184" i="1"/>
  <c r="H182" i="1"/>
  <c r="G182" i="1"/>
  <c r="F182" i="1"/>
  <c r="E182" i="1"/>
  <c r="H181" i="1"/>
  <c r="F181" i="1"/>
  <c r="E181" i="1"/>
  <c r="H180" i="1"/>
  <c r="F180" i="1"/>
  <c r="E180" i="1"/>
  <c r="H179" i="1"/>
  <c r="F179" i="1"/>
  <c r="F178" i="1" s="1"/>
  <c r="E179" i="1"/>
  <c r="E178" i="1" s="1"/>
  <c r="H178" i="1"/>
  <c r="H177" i="1"/>
  <c r="F177" i="1"/>
  <c r="G177" i="1" s="1"/>
  <c r="E177" i="1"/>
  <c r="H176" i="1"/>
  <c r="H184" i="1" s="1"/>
  <c r="F176" i="1"/>
  <c r="E176" i="1"/>
  <c r="H175" i="1"/>
  <c r="G175" i="1"/>
  <c r="F175" i="1"/>
  <c r="E175" i="1"/>
  <c r="D150" i="1"/>
  <c r="H147" i="1"/>
  <c r="H146" i="1"/>
  <c r="H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H139" i="1" s="1"/>
  <c r="G141" i="1"/>
  <c r="F141" i="1"/>
  <c r="I140" i="1"/>
  <c r="H140" i="1"/>
  <c r="G140" i="1"/>
  <c r="G139" i="1" s="1"/>
  <c r="F140" i="1"/>
  <c r="F139" i="1" s="1"/>
  <c r="F133" i="1" s="1"/>
  <c r="I139" i="1"/>
  <c r="E139" i="1"/>
  <c r="I138" i="1"/>
  <c r="H138" i="1"/>
  <c r="F138" i="1"/>
  <c r="I137" i="1"/>
  <c r="H137" i="1"/>
  <c r="F137" i="1"/>
  <c r="I136" i="1"/>
  <c r="G134" i="1"/>
  <c r="G133" i="1" s="1"/>
  <c r="F136" i="1"/>
  <c r="I135" i="1"/>
  <c r="I134" i="1" s="1"/>
  <c r="I133" i="1" s="1"/>
  <c r="H135" i="1"/>
  <c r="F135" i="1"/>
  <c r="F134" i="1"/>
  <c r="E134" i="1"/>
  <c r="E133" i="1" s="1"/>
  <c r="I132" i="1"/>
  <c r="F132" i="1"/>
  <c r="H131" i="1"/>
  <c r="I130" i="1"/>
  <c r="H130" i="1"/>
  <c r="G130" i="1"/>
  <c r="F130" i="1"/>
  <c r="I129" i="1"/>
  <c r="I128" i="1" s="1"/>
  <c r="I150" i="1" s="1"/>
  <c r="H129" i="1"/>
  <c r="H128" i="1" s="1"/>
  <c r="G129" i="1"/>
  <c r="G128" i="1" s="1"/>
  <c r="F129" i="1"/>
  <c r="F128" i="1"/>
  <c r="E128" i="1"/>
  <c r="C126" i="1"/>
  <c r="H106" i="1"/>
  <c r="H105" i="1"/>
  <c r="H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I96" i="1" s="1"/>
  <c r="I95" i="1" s="1"/>
  <c r="H97" i="1"/>
  <c r="H96" i="1" s="1"/>
  <c r="H95" i="1" s="1"/>
  <c r="G97" i="1"/>
  <c r="G96" i="1" s="1"/>
  <c r="G95" i="1" s="1"/>
  <c r="F97" i="1"/>
  <c r="F96" i="1" s="1"/>
  <c r="F95" i="1" s="1"/>
  <c r="E96" i="1"/>
  <c r="E95" i="1" s="1"/>
  <c r="D96" i="1"/>
  <c r="D95" i="1" s="1"/>
  <c r="D107" i="1" s="1"/>
  <c r="I94" i="1"/>
  <c r="H94" i="1"/>
  <c r="G94" i="1"/>
  <c r="F94" i="1"/>
  <c r="F92" i="1" s="1"/>
  <c r="I93" i="1"/>
  <c r="G93" i="1"/>
  <c r="H93" i="1" s="1"/>
  <c r="H92" i="1" s="1"/>
  <c r="F93" i="1"/>
  <c r="I92" i="1"/>
  <c r="I107" i="1" s="1"/>
  <c r="G92" i="1"/>
  <c r="E92" i="1"/>
  <c r="C89" i="1"/>
  <c r="H85" i="1"/>
  <c r="F85" i="1"/>
  <c r="D85" i="1"/>
  <c r="G61" i="1"/>
  <c r="G60" i="1"/>
  <c r="H55" i="1"/>
  <c r="I32" i="1" s="1"/>
  <c r="I27" i="1" s="1"/>
  <c r="G32" i="1"/>
  <c r="E55" i="1"/>
  <c r="E44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F34" i="1" s="1"/>
  <c r="I35" i="1"/>
  <c r="I34" i="1" s="1"/>
  <c r="I26" i="1" s="1"/>
  <c r="I44" i="1" s="1"/>
  <c r="G35" i="1"/>
  <c r="H35" i="1" s="1"/>
  <c r="F35" i="1"/>
  <c r="I33" i="1"/>
  <c r="H33" i="1"/>
  <c r="G33" i="1"/>
  <c r="F33" i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H25" i="1"/>
  <c r="G25" i="1"/>
  <c r="F25" i="1"/>
  <c r="I24" i="1"/>
  <c r="H24" i="1"/>
  <c r="H23" i="1" s="1"/>
  <c r="G24" i="1"/>
  <c r="F24" i="1"/>
  <c r="F23" i="1" s="1"/>
  <c r="I23" i="1"/>
  <c r="G23" i="1"/>
  <c r="H16" i="1"/>
  <c r="F16" i="1"/>
  <c r="D16" i="1"/>
  <c r="G150" i="1" l="1"/>
  <c r="H107" i="1"/>
  <c r="F27" i="1"/>
  <c r="F26" i="1" s="1"/>
  <c r="F44" i="1" s="1"/>
  <c r="G34" i="1"/>
  <c r="H34" i="1" s="1"/>
  <c r="F421" i="1"/>
  <c r="G389" i="1"/>
  <c r="F184" i="1"/>
  <c r="G184" i="1" s="1"/>
  <c r="G178" i="1"/>
  <c r="F107" i="1"/>
  <c r="H389" i="1"/>
  <c r="E421" i="1"/>
  <c r="I389" i="1"/>
  <c r="E150" i="1"/>
  <c r="H32" i="1"/>
  <c r="H27" i="1" s="1"/>
  <c r="G27" i="1"/>
  <c r="E107" i="1"/>
  <c r="F150" i="1"/>
  <c r="E184" i="1"/>
  <c r="G207" i="1"/>
  <c r="H421" i="1"/>
  <c r="G107" i="1"/>
  <c r="G55" i="1"/>
  <c r="H136" i="1"/>
  <c r="H134" i="1" s="1"/>
  <c r="H133" i="1" s="1"/>
  <c r="H150" i="1" s="1"/>
  <c r="G204" i="1"/>
  <c r="G26" i="1" l="1"/>
  <c r="G44" i="1" s="1"/>
  <c r="H26" i="1"/>
  <c r="H44" i="1" s="1"/>
</calcChain>
</file>

<file path=xl/sharedStrings.xml><?xml version="1.0" encoding="utf-8"?>
<sst xmlns="http://schemas.openxmlformats.org/spreadsheetml/2006/main" count="357" uniqueCount="149">
  <si>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</si>
  <si>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</si>
  <si>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</si>
  <si>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</si>
  <si>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</si>
  <si>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</si>
  <si>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</si>
  <si>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</si>
  <si>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</si>
  <si>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</si>
  <si>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</si>
  <si>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</si>
  <si>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</si>
  <si>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</si>
  <si>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</si>
  <si>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</si>
  <si>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</si>
  <si>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</si>
  <si>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</si>
  <si>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</si>
  <si>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</si>
  <si>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</si>
  <si>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</si>
  <si>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</si>
  <si>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</si>
  <si>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</si>
  <si>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</si>
  <si>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</si>
  <si>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</si>
  <si>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</si>
  <si>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</si>
  <si>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</si>
  <si>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</si>
  <si>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</si>
  <si>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</si>
  <si>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</si>
  <si>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</si>
  <si>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</si>
  <si>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</si>
  <si>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</si>
  <si>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</si>
  <si>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</si>
  <si>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</si>
  <si>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663 tonn, men det legges til grunn at hele avsetningen tas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</si>
  <si>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</si>
  <si>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</si>
  <si>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</si>
  <si>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</si>
  <si>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</si>
  <si>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</si>
  <si>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</si>
  <si>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</si>
  <si>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</si>
  <si>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</si>
  <si>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</si>
  <si>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</si>
  <si>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</si>
  <si>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</si>
  <si>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</si>
  <si>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</si>
  <si>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</si>
  <si>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</si>
  <si>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</si>
  <si>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</si>
  <si>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</si>
  <si>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</si>
  <si>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</si>
  <si>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</si>
  <si>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</si>
  <si>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</si>
  <si>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</si>
  <si>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</si>
  <si>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</si>
  <si>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</si>
  <si>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3</t>
    </r>
    <r>
      <rPr>
        <sz val="9"/>
        <color indexed="8"/>
        <rFont val="Calibri"/>
        <family val="2"/>
      </rPr>
      <t xml:space="preserve"> Det er fisket 2 933 tonn sei med konvensjonelle redskap som belastes notkvoten.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</si>
  <si>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</si>
  <si>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</si>
  <si>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</si>
  <si>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</si>
  <si>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</si>
  <si>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</si>
  <si>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</si>
  <si>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</si>
  <si>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</si>
  <si>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</si>
  <si>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</si>
  <si>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</si>
  <si>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</si>
  <si>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</si>
  <si>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</si>
  <si>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</si>
  <si>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</si>
  <si>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</si>
  <si>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</si>
  <si>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</si>
  <si>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</si>
  <si>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</si>
  <si>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</si>
  <si>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</si>
  <si>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</si>
  <si>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</si>
  <si>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</si>
  <si>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</si>
  <si>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</si>
  <si>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</si>
  <si>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</si>
  <si>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</si>
  <si>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</si>
  <si>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</si>
  <si>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</si>
  <si>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</si>
  <si>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</si>
  <si>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</si>
  <si>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</si>
  <si>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</si>
  <si>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</si>
  <si>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</si>
  <si>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</si>
  <si>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</si>
  <si>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</si>
  <si>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</si>
  <si>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</si>
  <si>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</si>
  <si>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</si>
  <si>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</si>
  <si>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</si>
  <si>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</si>
  <si>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</si>
  <si>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</si>
  <si>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</si>
  <si>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</si>
  <si>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</si>
  <si>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</si>
  <si>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</si>
  <si>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</si>
  <si>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</si>
  <si>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</si>
  <si>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</si>
  <si>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</si>
  <si>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</si>
  <si>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</si>
  <si>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</si>
  <si>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FANGST UKE 32</t>
  </si>
  <si>
    <t>FANGST T.O.M UKE 32</t>
  </si>
  <si>
    <t>RESTKVOTER UKE 32</t>
  </si>
  <si>
    <t>FANGST T.O.M UKE 32 2022</t>
  </si>
  <si>
    <r>
      <t xml:space="preserve">2 </t>
    </r>
    <r>
      <rPr>
        <sz val="9"/>
        <color indexed="8"/>
        <rFont val="Calibri"/>
        <family val="2"/>
      </rPr>
      <t>Registrert rekreasjonsfiske utgjør 61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</si>
  <si>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563 tonn, men det legges til grunn at hele avsetningen tas</t>
    </r>
  </si>
  <si>
    <t>Grunnet endringer i reguleringen, er fangstene ikke avregnet periodekvoter. Fangsttallene gjelder for hele 2023.Statistikk i henhold til ny regulering kommer på et senere tidspunkt.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</si>
</sst>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33" xfId="0" applyFont="1" applyBorder="1" applyAlignment="1">
      <alignment horizontal="left" vertical="top" wrapText="1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608"/>
  <sheetViews>
    <sheetView showGridLines="0" tabSelected="1" showRuler="0" view="pageLayout" zoomScale="85" zoomScaleNormal="85" zoomScaleSheetLayoutView="100" zoomScalePageLayoutView="85" workbookViewId="0">
      <selection activeCell="G11" sqref="G11:H11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1" t="s">
        <v>141</v>
      </c>
      <c r="C2" s="292"/>
      <c r="D2" s="292"/>
      <c r="E2" s="292"/>
      <c r="F2" s="292"/>
      <c r="G2" s="292"/>
      <c r="H2" s="292"/>
      <c r="I2" s="292"/>
      <c r="J2" s="293"/>
    </row>
    <row r="3" spans="1:10" ht="14.85" customHeight="1" x14ac:dyDescent="0.25">
      <c r="A3" s="1"/>
      <c r="B3" s="1"/>
      <c r="C3" s="1" t="s">
        <v>121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4"/>
      <c r="C9" s="295"/>
      <c r="D9" s="295"/>
      <c r="E9" s="295"/>
      <c r="F9" s="295"/>
      <c r="G9" s="295"/>
      <c r="H9" s="295"/>
      <c r="I9" s="295"/>
      <c r="J9" s="296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7" t="s">
        <v>1</v>
      </c>
      <c r="D11" s="298"/>
      <c r="E11" s="297" t="s">
        <v>2</v>
      </c>
      <c r="F11" s="298"/>
      <c r="G11" s="297" t="s">
        <v>3</v>
      </c>
      <c r="H11" s="298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77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461.73750000000001</v>
      </c>
      <c r="G23" s="28">
        <f t="shared" si="0"/>
        <v>53197.16287</v>
      </c>
      <c r="H23" s="11">
        <f t="shared" si="0"/>
        <v>33629.83713</v>
      </c>
      <c r="I23" s="11">
        <f t="shared" si="0"/>
        <v>66989.702529999995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461.7375</f>
        <v>461.73750000000001</v>
      </c>
      <c r="G24" s="23">
        <f>52841.74002</f>
        <v>52841.740019999997</v>
      </c>
      <c r="H24" s="23">
        <f>E24-G24</f>
        <v>33203.259980000003</v>
      </c>
      <c r="I24" s="23">
        <f>66632.04056</f>
        <v>66632.040559999994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355.42285</f>
        <v>355.42284999999998</v>
      </c>
      <c r="H25" s="23">
        <f>E25-G25</f>
        <v>426.57715000000002</v>
      </c>
      <c r="I25" s="23">
        <f>357.66197</f>
        <v>357.66197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1348.7316000000001</v>
      </c>
      <c r="G26" s="11">
        <f t="shared" si="1"/>
        <v>172460.85311000003</v>
      </c>
      <c r="H26" s="11">
        <f t="shared" si="1"/>
        <v>25109.146890000004</v>
      </c>
      <c r="I26" s="11">
        <f t="shared" si="1"/>
        <v>209733.76105000003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1137.73153</v>
      </c>
      <c r="G27" s="134">
        <f t="shared" ref="G27:I27" si="2">G28+G29+G30+G31+G32</f>
        <v>136411.76060000001</v>
      </c>
      <c r="H27" s="134">
        <f t="shared" si="2"/>
        <v>16239.239400000002</v>
      </c>
      <c r="I27" s="134">
        <f t="shared" si="2"/>
        <v>169920.49902000002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113.57522</f>
        <v>113.57522</v>
      </c>
      <c r="G28" s="129">
        <f>36758.37339 - F57</f>
        <v>35859.373390000001</v>
      </c>
      <c r="H28" s="129">
        <f t="shared" ref="H28:H40" si="3">E28-G28</f>
        <v>3689.6266099999993</v>
      </c>
      <c r="I28" s="129">
        <f>42675.82476 - H57</f>
        <v>42675.824760000003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170.83944</f>
        <v>170.83944</v>
      </c>
      <c r="G29" s="129">
        <f>38141.9503 - F58</f>
        <v>36252.950299999997</v>
      </c>
      <c r="H29" s="129">
        <f t="shared" si="3"/>
        <v>4511.0497000000032</v>
      </c>
      <c r="I29" s="129">
        <f>46566.59994 - H58</f>
        <v>46566.59994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147.65869</f>
        <v>147.65869000000001</v>
      </c>
      <c r="G30" s="129">
        <f>36630.41263 - F59</f>
        <v>35752.412629999999</v>
      </c>
      <c r="H30" s="129">
        <f t="shared" si="3"/>
        <v>1514.5873700000011</v>
      </c>
      <c r="I30" s="129">
        <f>46946.415 - H59</f>
        <v>46946.415000000001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169.65818</f>
        <v>169.65817999999999</v>
      </c>
      <c r="G31" s="129">
        <f>24778.02428 - F60</f>
        <v>24415.024280000001</v>
      </c>
      <c r="H31" s="129">
        <f t="shared" si="3"/>
        <v>991.97571999999855</v>
      </c>
      <c r="I31" s="129">
        <f>33731.65932 - H60</f>
        <v>33731.659319999999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536</v>
      </c>
      <c r="G32" s="129">
        <f>F55</f>
        <v>4132</v>
      </c>
      <c r="H32" s="129">
        <f t="shared" si="3"/>
        <v>5532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65.21377</f>
        <v>65.213769999999997</v>
      </c>
      <c r="G33" s="134">
        <f>15250.78937</f>
        <v>15250.78937</v>
      </c>
      <c r="H33" s="134">
        <f t="shared" si="3"/>
        <v>8335.2106299999996</v>
      </c>
      <c r="I33" s="134">
        <f>18165.80276</f>
        <v>18165.802759999999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145.78629999999998</v>
      </c>
      <c r="G34" s="134">
        <f>G35+G36</f>
        <v>20798.30314</v>
      </c>
      <c r="H34" s="134">
        <f t="shared" si="3"/>
        <v>534.69686000000002</v>
      </c>
      <c r="I34" s="134">
        <f>I35+I36</f>
        <v>21647.459269999999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90.7863</f>
        <v>90.786299999999997</v>
      </c>
      <c r="G35" s="134">
        <f>24777.30314 - F61 - F62</f>
        <v>20435.30314</v>
      </c>
      <c r="H35" s="129">
        <f t="shared" si="3"/>
        <v>-302.30313999999998</v>
      </c>
      <c r="I35" s="129">
        <f>21647.45927 - H61 - H62</f>
        <v>21647.459269999999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55</v>
      </c>
      <c r="G36" s="73">
        <f>F60</f>
        <v>363</v>
      </c>
      <c r="H36" s="73">
        <f t="shared" si="3"/>
        <v>837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487.7967</f>
        <v>487.79669999999999</v>
      </c>
      <c r="H37" s="141">
        <f t="shared" si="3"/>
        <v>2512.2033000000001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0</f>
        <v>0</v>
      </c>
      <c r="G38" s="100">
        <f>486.66974</f>
        <v>486.66973999999999</v>
      </c>
      <c r="H38" s="100">
        <f t="shared" si="3"/>
        <v>364.33026000000001</v>
      </c>
      <c r="I38" s="100">
        <f>458.36041</f>
        <v>458.36041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61</v>
      </c>
      <c r="G39" s="100">
        <f>F61</f>
        <v>4342</v>
      </c>
      <c r="H39" s="100">
        <f t="shared" si="3"/>
        <v>-1294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4.96349</f>
        <v>4.9634900000000002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1876.43559</v>
      </c>
      <c r="G44" s="78">
        <f t="shared" si="4"/>
        <v>238054.04342000006</v>
      </c>
      <c r="H44" s="78">
        <f t="shared" si="4"/>
        <v>60641.956579999976</v>
      </c>
      <c r="I44" s="78">
        <f t="shared" si="4"/>
        <v>284636.56537000003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43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44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9" t="s">
        <v>45</v>
      </c>
      <c r="D52" s="299"/>
      <c r="E52" s="299"/>
      <c r="F52" s="299"/>
      <c r="G52" s="299"/>
      <c r="H52" s="299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46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47</v>
      </c>
      <c r="D55" s="300">
        <v>9840</v>
      </c>
      <c r="E55" s="11">
        <f>E59+E58+E57+E56</f>
        <v>536</v>
      </c>
      <c r="F55" s="11">
        <f>F59+F58+F57+F56</f>
        <v>4132</v>
      </c>
      <c r="G55" s="300">
        <f>D55-F55</f>
        <v>5708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1"/>
      <c r="E56" s="129">
        <v>80</v>
      </c>
      <c r="F56" s="129">
        <v>466</v>
      </c>
      <c r="G56" s="301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1"/>
      <c r="E57" s="129">
        <v>141</v>
      </c>
      <c r="F57" s="129">
        <v>899</v>
      </c>
      <c r="G57" s="301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1"/>
      <c r="E58" s="129">
        <v>190</v>
      </c>
      <c r="F58" s="129">
        <v>1889</v>
      </c>
      <c r="G58" s="301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2"/>
      <c r="E59" s="194">
        <v>125</v>
      </c>
      <c r="F59" s="194">
        <v>878</v>
      </c>
      <c r="G59" s="302"/>
      <c r="H59" s="194"/>
      <c r="I59" s="256"/>
      <c r="J59" s="242"/>
    </row>
    <row r="60" spans="1:10" ht="14.1" customHeight="1" x14ac:dyDescent="0.25">
      <c r="A60" s="101"/>
      <c r="B60" s="24"/>
      <c r="C60" s="91" t="s">
        <v>48</v>
      </c>
      <c r="D60" s="97">
        <v>1200</v>
      </c>
      <c r="E60" s="97">
        <v>55</v>
      </c>
      <c r="F60" s="97">
        <v>363</v>
      </c>
      <c r="G60" s="97">
        <f>D60-F60</f>
        <v>837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49</v>
      </c>
      <c r="D61" s="141">
        <v>3000</v>
      </c>
      <c r="E61" s="141">
        <v>61</v>
      </c>
      <c r="F61" s="141">
        <v>4342</v>
      </c>
      <c r="G61" s="141">
        <f>D61-F61</f>
        <v>-1342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121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50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7" t="s">
        <v>1</v>
      </c>
      <c r="D81" s="298"/>
      <c r="E81" s="297" t="s">
        <v>2</v>
      </c>
      <c r="F81" s="303"/>
      <c r="G81" s="297" t="s">
        <v>3</v>
      </c>
      <c r="H81" s="298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77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51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138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52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12.1744</v>
      </c>
      <c r="G92" s="11">
        <f t="shared" si="5"/>
        <v>39235.811990000002</v>
      </c>
      <c r="H92" s="11">
        <f t="shared" si="5"/>
        <v>-4436.8119899999992</v>
      </c>
      <c r="I92" s="11">
        <f t="shared" si="5"/>
        <v>35843.61419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12.1744</f>
        <v>12.1744</v>
      </c>
      <c r="G93" s="23">
        <f>38737.8154</f>
        <v>38737.815399999999</v>
      </c>
      <c r="H93" s="23">
        <f>E93-G93</f>
        <v>-4750.8153999999995</v>
      </c>
      <c r="I93" s="23">
        <f>35139.96012</f>
        <v>35139.960120000003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497.99659</f>
        <v>497.99659000000003</v>
      </c>
      <c r="H94" s="52">
        <f>E94-G94</f>
        <v>314.00340999999997</v>
      </c>
      <c r="I94" s="52">
        <f>703.65407</f>
        <v>703.65407000000005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467.52191000000005</v>
      </c>
      <c r="G95" s="11">
        <f t="shared" si="6"/>
        <v>25706.312299999998</v>
      </c>
      <c r="H95" s="11">
        <f t="shared" si="6"/>
        <v>33793.687700000002</v>
      </c>
      <c r="I95" s="11">
        <f t="shared" si="6"/>
        <v>30596.112820000002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438.23140000000001</v>
      </c>
      <c r="G96" s="134">
        <f t="shared" si="7"/>
        <v>18902.53616</v>
      </c>
      <c r="H96" s="134">
        <f t="shared" si="7"/>
        <v>25588.46384</v>
      </c>
      <c r="I96" s="134">
        <f t="shared" si="7"/>
        <v>24217.892200000002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76.13093</f>
        <v>76.130930000000006</v>
      </c>
      <c r="G97" s="129">
        <f>2673.01239</f>
        <v>2673.0123899999999</v>
      </c>
      <c r="H97" s="129">
        <f t="shared" ref="H97:H104" si="8">E97-G97</f>
        <v>9210.6876100000009</v>
      </c>
      <c r="I97" s="129">
        <f>2722.2895</f>
        <v>2722.2894999999999</v>
      </c>
      <c r="J97" s="242"/>
    </row>
    <row r="98" spans="1:10" ht="14.1" customHeight="1" x14ac:dyDescent="0.25">
      <c r="A98" s="199"/>
      <c r="B98" s="184"/>
      <c r="C98" s="64" t="s">
        <v>53</v>
      </c>
      <c r="D98" s="65">
        <v>11448</v>
      </c>
      <c r="E98" s="65">
        <v>12665.1</v>
      </c>
      <c r="F98" s="129">
        <f>70.27501</f>
        <v>70.275009999999995</v>
      </c>
      <c r="G98" s="129">
        <f>5798.56139</f>
        <v>5798.5613899999998</v>
      </c>
      <c r="H98" s="129">
        <f t="shared" si="8"/>
        <v>6866.5386100000005</v>
      </c>
      <c r="I98" s="129">
        <f>8309.95918</f>
        <v>8309.9591799999998</v>
      </c>
      <c r="J98" s="242"/>
    </row>
    <row r="99" spans="1:10" ht="14.1" customHeight="1" x14ac:dyDescent="0.25">
      <c r="A99" s="199"/>
      <c r="B99" s="184"/>
      <c r="C99" s="64" t="s">
        <v>54</v>
      </c>
      <c r="D99" s="65">
        <v>10830</v>
      </c>
      <c r="E99" s="65">
        <v>11965.6</v>
      </c>
      <c r="F99" s="129">
        <f>124.46542</f>
        <v>124.46541999999999</v>
      </c>
      <c r="G99" s="129">
        <f>5572.55869</f>
        <v>5572.5586899999998</v>
      </c>
      <c r="H99" s="129">
        <f t="shared" si="8"/>
        <v>6393.0413100000005</v>
      </c>
      <c r="I99" s="129">
        <f>6829.18607</f>
        <v>6829.1860699999997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167.36004</f>
        <v>167.36004</v>
      </c>
      <c r="G100" s="129">
        <f>4858.40369</f>
        <v>4858.4036900000001</v>
      </c>
      <c r="H100" s="129">
        <f t="shared" si="8"/>
        <v>3118.1963100000003</v>
      </c>
      <c r="I100" s="129">
        <f>6356.45745</f>
        <v>6356.4574499999999</v>
      </c>
      <c r="J100" s="242"/>
    </row>
    <row r="101" spans="1:10" ht="14.1" customHeight="1" x14ac:dyDescent="0.25">
      <c r="A101" s="199"/>
      <c r="B101" s="184"/>
      <c r="C101" s="59" t="s">
        <v>55</v>
      </c>
      <c r="D101" s="60">
        <v>9408</v>
      </c>
      <c r="E101" s="60">
        <v>10391</v>
      </c>
      <c r="F101" s="134">
        <f>5.44161</f>
        <v>5.4416099999999998</v>
      </c>
      <c r="G101" s="134">
        <f>5456.96637</f>
        <v>5456.9663700000001</v>
      </c>
      <c r="H101" s="134">
        <f t="shared" si="8"/>
        <v>4934.0336299999999</v>
      </c>
      <c r="I101" s="134">
        <f>5264.16272</f>
        <v>5264.1627200000003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23.8489</f>
        <v>23.8489</v>
      </c>
      <c r="G102" s="77">
        <f>1346.80977</f>
        <v>1346.8097700000001</v>
      </c>
      <c r="H102" s="77">
        <f t="shared" si="8"/>
        <v>3271.1902300000002</v>
      </c>
      <c r="I102" s="77">
        <f>1114.0579</f>
        <v>1114.0579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56</v>
      </c>
      <c r="D104" s="145">
        <v>300</v>
      </c>
      <c r="E104" s="145">
        <v>300</v>
      </c>
      <c r="F104" s="141">
        <f>0.30602</f>
        <v>0.30602000000000001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57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480.00233000000003</v>
      </c>
      <c r="G107" s="78">
        <f t="shared" si="9"/>
        <v>65262.140759999987</v>
      </c>
      <c r="H107" s="78">
        <f t="shared" si="9"/>
        <v>29706.859240000016</v>
      </c>
      <c r="I107" s="78">
        <f t="shared" si="9"/>
        <v>66805.456619999997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146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58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121</v>
      </c>
      <c r="D113" s="226"/>
      <c r="E113" s="226"/>
      <c r="F113" s="226"/>
      <c r="G113" s="226"/>
      <c r="H113" s="226"/>
      <c r="I113" s="101"/>
      <c r="J113" s="101" t="s">
        <v>121</v>
      </c>
    </row>
    <row r="114" spans="1:10" ht="14.25" customHeight="1" x14ac:dyDescent="0.25">
      <c r="A114" s="1"/>
      <c r="B114" s="101"/>
      <c r="C114" s="101" t="s">
        <v>121</v>
      </c>
      <c r="D114" s="101" t="s">
        <v>121</v>
      </c>
      <c r="E114" s="101"/>
      <c r="F114" s="101"/>
      <c r="G114" s="101"/>
      <c r="H114" s="101"/>
      <c r="I114" s="101"/>
      <c r="J114" s="101" t="s">
        <v>121</v>
      </c>
    </row>
    <row r="115" spans="1:10" ht="17.100000000000001" customHeight="1" x14ac:dyDescent="0.25">
      <c r="A115" s="216"/>
      <c r="B115" s="216"/>
      <c r="C115" s="217" t="s">
        <v>59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60</v>
      </c>
      <c r="D121" s="119">
        <v>1700</v>
      </c>
      <c r="E121" s="117" t="s">
        <v>61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62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51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63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64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111.0996</v>
      </c>
      <c r="G128" s="11">
        <f t="shared" si="11"/>
        <v>42775.063969999996</v>
      </c>
      <c r="H128" s="11">
        <f t="shared" si="11"/>
        <v>27931.936030000001</v>
      </c>
      <c r="I128" s="11">
        <f t="shared" si="11"/>
        <v>41249.18174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111.0996</f>
        <v>111.0996</v>
      </c>
      <c r="G129" s="23">
        <f>37943.03707</f>
        <v>37943.037069999998</v>
      </c>
      <c r="H129" s="23">
        <f>E129-G129</f>
        <v>18281.962930000002</v>
      </c>
      <c r="I129" s="23">
        <f>35173.95408</f>
        <v>35173.954080000003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0</f>
        <v>0</v>
      </c>
      <c r="G130" s="23">
        <f>4832.0269</f>
        <v>4832.0268999999998</v>
      </c>
      <c r="H130" s="23">
        <f>E130-G130</f>
        <v>9149.9730999999992</v>
      </c>
      <c r="I130" s="23">
        <f>6075.22766</f>
        <v>6075.2276599999996</v>
      </c>
      <c r="J130" s="242"/>
    </row>
    <row r="131" spans="1:10" ht="13.5" customHeight="1" x14ac:dyDescent="0.25">
      <c r="A131" s="1"/>
      <c r="B131" s="252"/>
      <c r="C131" s="50" t="s">
        <v>65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66</v>
      </c>
      <c r="D132" s="93">
        <v>52226</v>
      </c>
      <c r="E132" s="93">
        <v>49285</v>
      </c>
      <c r="F132" s="97">
        <f>1459.9682</f>
        <v>1459.9682</v>
      </c>
      <c r="G132" s="97">
        <f>33372.39529 + 5003.62507</f>
        <v>38376.020360000002</v>
      </c>
      <c r="H132" s="97">
        <f>E132-G132</f>
        <v>10908.979639999998</v>
      </c>
      <c r="I132" s="97">
        <f>35169.53748</f>
        <v>35169.537479999999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1479.9764499999999</v>
      </c>
      <c r="G133" s="96">
        <f t="shared" ref="G133" si="12">G134+G139+G142</f>
        <v>50813.585999999996</v>
      </c>
      <c r="H133" s="96">
        <f>H134+H139+H142</f>
        <v>30298.413999999997</v>
      </c>
      <c r="I133" s="96">
        <f>I134+I139+I142</f>
        <v>49916.377989999994</v>
      </c>
      <c r="J133" s="122"/>
    </row>
    <row r="134" spans="1:10" ht="14.1" customHeight="1" x14ac:dyDescent="0.25">
      <c r="A134" s="1"/>
      <c r="B134" s="54"/>
      <c r="C134" s="123" t="s">
        <v>67</v>
      </c>
      <c r="D134" s="125">
        <v>61046</v>
      </c>
      <c r="E134" s="125">
        <f>E135+E136+E137+E138</f>
        <v>59633</v>
      </c>
      <c r="F134" s="127">
        <f>F135+F136+F137+F138</f>
        <v>1238.4519700000001</v>
      </c>
      <c r="G134" s="127">
        <f>G135+G136+G138+G137</f>
        <v>39434.633320000001</v>
      </c>
      <c r="H134" s="127">
        <f>H135+H136+H137+H138</f>
        <v>20198.366679999999</v>
      </c>
      <c r="I134" s="127">
        <f>I135+I136+I137+I138</f>
        <v>39292.481719999996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214.45292</f>
        <v>214.45292000000001</v>
      </c>
      <c r="G135" s="129">
        <v>6790.0563400000001</v>
      </c>
      <c r="H135" s="129">
        <f>E135-G135</f>
        <v>10747.943660000001</v>
      </c>
      <c r="I135" s="129">
        <f>5827.21578</f>
        <v>5827.2157800000004</v>
      </c>
      <c r="J135" s="130"/>
    </row>
    <row r="136" spans="1:10" ht="14.1" customHeight="1" x14ac:dyDescent="0.25">
      <c r="A136" s="199"/>
      <c r="B136" s="184"/>
      <c r="C136" s="64" t="s">
        <v>53</v>
      </c>
      <c r="D136" s="65">
        <v>16593</v>
      </c>
      <c r="E136" s="65">
        <v>15118</v>
      </c>
      <c r="F136" s="129">
        <f>213.77666</f>
        <v>213.77665999999999</v>
      </c>
      <c r="G136" s="129">
        <v>11339.765160000001</v>
      </c>
      <c r="H136" s="129">
        <f>E136-G136</f>
        <v>3778.2348399999992</v>
      </c>
      <c r="I136" s="129">
        <f>9196.57837</f>
        <v>9196.5783699999993</v>
      </c>
      <c r="J136" s="131"/>
    </row>
    <row r="137" spans="1:10" ht="14.1" customHeight="1" x14ac:dyDescent="0.25">
      <c r="A137" s="199"/>
      <c r="B137" s="184"/>
      <c r="C137" s="64" t="s">
        <v>54</v>
      </c>
      <c r="D137" s="65">
        <v>15164</v>
      </c>
      <c r="E137" s="65">
        <v>15056</v>
      </c>
      <c r="F137" s="129">
        <f>539.36171</f>
        <v>539.36171000000002</v>
      </c>
      <c r="G137" s="129">
        <v>11631.72819</v>
      </c>
      <c r="H137" s="129">
        <f>E137-G137</f>
        <v>3424.2718100000002</v>
      </c>
      <c r="I137" s="129">
        <f>12521.39556</f>
        <v>12521.395560000001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270.86068</f>
        <v>270.86068</v>
      </c>
      <c r="G138" s="129">
        <v>9673.0836299999992</v>
      </c>
      <c r="H138" s="129">
        <f>E138-G138</f>
        <v>2247.9163700000008</v>
      </c>
      <c r="I138" s="129">
        <f>11747.29201</f>
        <v>11747.292009999999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6.8089399999999998</v>
      </c>
      <c r="G139" s="134">
        <f>SUM(G140:G141)</f>
        <v>6454.3752699999995</v>
      </c>
      <c r="H139" s="134">
        <f>H140+H141</f>
        <v>2996.6247300000005</v>
      </c>
      <c r="I139" s="134">
        <f>SUM(I140:I141)</f>
        <v>5991.8487599999999</v>
      </c>
      <c r="J139" s="136"/>
    </row>
    <row r="140" spans="1:10" ht="14.1" customHeight="1" x14ac:dyDescent="0.25">
      <c r="A140" s="1"/>
      <c r="B140" s="252"/>
      <c r="C140" s="64" t="s">
        <v>68</v>
      </c>
      <c r="D140" s="65">
        <v>8232</v>
      </c>
      <c r="E140" s="65">
        <v>8951</v>
      </c>
      <c r="F140" s="129">
        <f>0</f>
        <v>0</v>
      </c>
      <c r="G140" s="129">
        <f>6275.48486</f>
        <v>6275.4848599999996</v>
      </c>
      <c r="H140" s="129">
        <f t="shared" ref="H140:H147" si="13">E140-G140</f>
        <v>2675.5151400000004</v>
      </c>
      <c r="I140" s="129">
        <f>5822.62769</f>
        <v>5822.6276900000003</v>
      </c>
      <c r="J140" s="122"/>
    </row>
    <row r="141" spans="1:10" ht="15" customHeight="1" x14ac:dyDescent="0.25">
      <c r="A141" s="1"/>
      <c r="B141" s="55"/>
      <c r="C141" s="64" t="s">
        <v>69</v>
      </c>
      <c r="D141" s="65">
        <v>500</v>
      </c>
      <c r="E141" s="65">
        <v>500</v>
      </c>
      <c r="F141" s="129">
        <f>6.80894</f>
        <v>6.8089399999999998</v>
      </c>
      <c r="G141" s="129">
        <f>178.89041</f>
        <v>178.89041</v>
      </c>
      <c r="H141" s="129">
        <f t="shared" si="13"/>
        <v>321.10959000000003</v>
      </c>
      <c r="I141" s="129">
        <f>169.22107</f>
        <v>169.22107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234.71554</f>
        <v>234.71554</v>
      </c>
      <c r="G142" s="77">
        <f>4924.57741</f>
        <v>4924.5774099999999</v>
      </c>
      <c r="H142" s="77">
        <f t="shared" si="13"/>
        <v>7103.4225900000001</v>
      </c>
      <c r="I142" s="77">
        <f>4632.04751</f>
        <v>4632.0475100000003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30.361</f>
        <v>30.361000000000001</v>
      </c>
      <c r="H143" s="141">
        <f t="shared" si="13"/>
        <v>106.639</v>
      </c>
      <c r="I143" s="141">
        <f>21.55052</f>
        <v>21.550519999999999</v>
      </c>
      <c r="J143" s="122"/>
    </row>
    <row r="144" spans="1:10" ht="15.75" customHeight="1" x14ac:dyDescent="0.25">
      <c r="A144" s="1"/>
      <c r="B144" s="252"/>
      <c r="C144" s="142" t="s">
        <v>70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71</v>
      </c>
      <c r="D145" s="145">
        <v>2000</v>
      </c>
      <c r="E145" s="145">
        <v>2000</v>
      </c>
      <c r="F145" s="141">
        <f>21.67628</f>
        <v>21.676279999999998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72</v>
      </c>
      <c r="D147" s="145">
        <v>195</v>
      </c>
      <c r="E147" s="145">
        <v>195</v>
      </c>
      <c r="F147" s="141"/>
      <c r="G147" s="141"/>
      <c r="H147" s="141">
        <f t="shared" si="13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3072.7205300000001</v>
      </c>
      <c r="G150" s="78">
        <f>G128+G132+G133+G143+G144+G145+G146+G147+G148</f>
        <v>134257.61233</v>
      </c>
      <c r="H150" s="78">
        <f>H128+H132+H133+H143+H144+H145+H146+H147+H148</f>
        <v>69428.387669999996</v>
      </c>
      <c r="I150" s="78">
        <f>I128+I132+I133+I143+I144+I145+I146+I147+I148</f>
        <v>128663.62372999999</v>
      </c>
      <c r="J150" s="162"/>
    </row>
    <row r="151" spans="1:10" ht="14.25" customHeight="1" x14ac:dyDescent="0.25">
      <c r="A151" s="159"/>
      <c r="B151" s="54"/>
      <c r="C151" s="163" t="s">
        <v>73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74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147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75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121</v>
      </c>
      <c r="B162" s="2"/>
      <c r="C162" s="217" t="s">
        <v>76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121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121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77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51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78</v>
      </c>
      <c r="D175" s="96">
        <v>4988</v>
      </c>
      <c r="E175" s="274">
        <f>6.87648</f>
        <v>6.8764799999999999</v>
      </c>
      <c r="F175" s="274">
        <f>1345.59846</f>
        <v>1345.5984599999999</v>
      </c>
      <c r="G175" s="45">
        <f>D175-F175-F176</f>
        <v>2147.5856899999999</v>
      </c>
      <c r="H175" s="274">
        <f>1038.86352</f>
        <v>1038.8635200000001</v>
      </c>
      <c r="I175" s="1"/>
      <c r="J175" s="122"/>
    </row>
    <row r="176" spans="1:10" ht="14.1" customHeight="1" x14ac:dyDescent="0.25">
      <c r="A176" s="1"/>
      <c r="B176" s="252"/>
      <c r="C176" s="139" t="s">
        <v>55</v>
      </c>
      <c r="D176" s="183"/>
      <c r="E176" s="154">
        <f>13.35932</f>
        <v>13.35932</v>
      </c>
      <c r="F176" s="154">
        <f>1494.81585</f>
        <v>1494.81585</v>
      </c>
      <c r="G176" s="215"/>
      <c r="H176" s="154">
        <f>1372.72845</f>
        <v>1372.7284500000001</v>
      </c>
      <c r="I176" s="1"/>
      <c r="J176" s="122"/>
    </row>
    <row r="177" spans="1:10" ht="15.6" customHeight="1" x14ac:dyDescent="0.25">
      <c r="A177" s="1"/>
      <c r="B177" s="252"/>
      <c r="C177" s="171" t="s">
        <v>79</v>
      </c>
      <c r="D177" s="100">
        <v>200</v>
      </c>
      <c r="E177" s="174">
        <f>0</f>
        <v>0</v>
      </c>
      <c r="F177" s="174">
        <f>71.56716</f>
        <v>71.567160000000001</v>
      </c>
      <c r="G177" s="174">
        <f>D177-F177</f>
        <v>128.43284</v>
      </c>
      <c r="H177" s="174">
        <f>49.86932</f>
        <v>49.869320000000002</v>
      </c>
      <c r="I177" s="1"/>
      <c r="J177" s="122"/>
    </row>
    <row r="178" spans="1:10" ht="14.1" customHeight="1" x14ac:dyDescent="0.25">
      <c r="A178" s="70"/>
      <c r="B178" s="81"/>
      <c r="C178" s="182" t="s">
        <v>80</v>
      </c>
      <c r="D178" s="183">
        <v>7481</v>
      </c>
      <c r="E178" s="183">
        <f>E179+E180+E181</f>
        <v>1934.7731000000001</v>
      </c>
      <c r="F178" s="183">
        <f>F179+F180+F181</f>
        <v>6801.7566899999993</v>
      </c>
      <c r="G178" s="183">
        <f>D178-F178</f>
        <v>679.24331000000075</v>
      </c>
      <c r="H178" s="183">
        <f>H179+H180+H181</f>
        <v>5652.9776000000002</v>
      </c>
      <c r="I178" s="70"/>
      <c r="J178" s="118"/>
    </row>
    <row r="179" spans="1:10" ht="14.1" customHeight="1" x14ac:dyDescent="0.25">
      <c r="A179" s="199"/>
      <c r="B179" s="184"/>
      <c r="C179" s="185" t="s">
        <v>81</v>
      </c>
      <c r="D179" s="129"/>
      <c r="E179" s="129">
        <f>1230.29726</f>
        <v>1230.2972600000001</v>
      </c>
      <c r="F179" s="129">
        <f>3486.63831</f>
        <v>3486.6383099999998</v>
      </c>
      <c r="G179" s="129"/>
      <c r="H179" s="129">
        <f>2757.18476</f>
        <v>2757.1847600000001</v>
      </c>
      <c r="I179" s="188"/>
      <c r="J179" s="131"/>
    </row>
    <row r="180" spans="1:10" ht="14.1" customHeight="1" x14ac:dyDescent="0.25">
      <c r="A180" s="199"/>
      <c r="B180" s="184"/>
      <c r="C180" s="185" t="s">
        <v>82</v>
      </c>
      <c r="D180" s="129"/>
      <c r="E180" s="129">
        <f>496.53673</f>
        <v>496.53672999999998</v>
      </c>
      <c r="F180" s="129">
        <f>2093.75795</f>
        <v>2093.7579500000002</v>
      </c>
      <c r="G180" s="129"/>
      <c r="H180" s="129">
        <f>1799.55967</f>
        <v>1799.5596700000001</v>
      </c>
      <c r="I180" s="188"/>
      <c r="J180" s="189"/>
    </row>
    <row r="181" spans="1:10" ht="14.1" customHeight="1" x14ac:dyDescent="0.25">
      <c r="A181" s="199"/>
      <c r="B181" s="184"/>
      <c r="C181" s="191" t="s">
        <v>83</v>
      </c>
      <c r="D181" s="194"/>
      <c r="E181" s="194">
        <f>207.93911</f>
        <v>207.93911</v>
      </c>
      <c r="F181" s="194">
        <f>1221.36043</f>
        <v>1221.36043</v>
      </c>
      <c r="G181" s="194"/>
      <c r="H181" s="194">
        <f>1096.23317</f>
        <v>1096.23317</v>
      </c>
      <c r="I181" s="188"/>
      <c r="J181" s="189"/>
    </row>
    <row r="182" spans="1:10" ht="14.1" customHeight="1" x14ac:dyDescent="0.25">
      <c r="A182" s="1"/>
      <c r="B182" s="252"/>
      <c r="C182" s="75" t="s">
        <v>84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85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1955.0089</v>
      </c>
      <c r="F184" s="196">
        <f>F175+F176+F177+F178+F182+F183</f>
        <v>9713.738159999999</v>
      </c>
      <c r="G184" s="196">
        <f>D184-F184</f>
        <v>3021.261840000001</v>
      </c>
      <c r="H184" s="196">
        <f>H175+H176+H177+H178+H182+H183</f>
        <v>8114.4388900000004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121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121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86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121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87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88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89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51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101.0586</f>
        <v>101.0586</v>
      </c>
      <c r="F204" s="124">
        <f>38778.2548</f>
        <v>38778.254800000002</v>
      </c>
      <c r="G204" s="124">
        <f>D204-F204</f>
        <v>5060.7451999999976</v>
      </c>
      <c r="H204" s="124">
        <f>31813.17763</f>
        <v>31813.177629999998</v>
      </c>
      <c r="I204" s="246"/>
      <c r="J204" s="122"/>
    </row>
    <row r="205" spans="1:10" ht="15" customHeight="1" x14ac:dyDescent="0.25">
      <c r="A205" s="1"/>
      <c r="B205" s="252"/>
      <c r="C205" s="90" t="s">
        <v>69</v>
      </c>
      <c r="D205" s="124">
        <v>100</v>
      </c>
      <c r="E205" s="124">
        <f>2.1025</f>
        <v>2.1025</v>
      </c>
      <c r="F205" s="124">
        <f>48.53475</f>
        <v>48.534750000000003</v>
      </c>
      <c r="G205" s="124">
        <f>D205-F205</f>
        <v>51.465249999999997</v>
      </c>
      <c r="H205" s="124">
        <f>26.27175</f>
        <v>26.271750000000001</v>
      </c>
      <c r="I205" s="246"/>
      <c r="J205" s="122"/>
    </row>
    <row r="206" spans="1:10" ht="15.75" customHeight="1" x14ac:dyDescent="0.25">
      <c r="A206" s="1"/>
      <c r="B206" s="252"/>
      <c r="C206" s="146" t="s">
        <v>84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90</v>
      </c>
      <c r="D207" s="190">
        <f>SUM(D204:D206)</f>
        <v>43981</v>
      </c>
      <c r="E207" s="190">
        <f>SUM(E204:E206)</f>
        <v>103.1611</v>
      </c>
      <c r="F207" s="190">
        <f>SUM(F204:F206)</f>
        <v>38826.789550000001</v>
      </c>
      <c r="G207" s="190">
        <f>D207-F207</f>
        <v>5154.2104499999987</v>
      </c>
      <c r="H207" s="190">
        <f>SUM(H204:H206)</f>
        <v>31839.449379999998</v>
      </c>
      <c r="I207" s="246"/>
      <c r="J207" s="122"/>
    </row>
    <row r="208" spans="1:10" ht="17.100000000000001" customHeight="1" x14ac:dyDescent="0.25">
      <c r="A208" s="1"/>
      <c r="B208" s="166"/>
      <c r="C208" s="201" t="s">
        <v>91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121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139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121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170.24664</f>
        <v>170.24664000000001</v>
      </c>
      <c r="F249" s="77">
        <f>2608.74872</f>
        <v>2608.74872</v>
      </c>
      <c r="G249" s="77"/>
      <c r="H249" s="77">
        <f>1635.87104</f>
        <v>1635.87104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47.57898</f>
        <v>47.578980000000001</v>
      </c>
      <c r="F250" s="77">
        <f>4617.98195</f>
        <v>4617.9819500000003</v>
      </c>
      <c r="G250" s="77"/>
      <c r="H250" s="77">
        <f>4095.21853</f>
        <v>4095.2185300000001</v>
      </c>
      <c r="I250" s="246"/>
      <c r="J250" s="122"/>
    </row>
    <row r="251" spans="1:10" ht="15.75" customHeight="1" x14ac:dyDescent="0.25">
      <c r="A251" s="1"/>
      <c r="B251" s="252"/>
      <c r="C251" s="146" t="s">
        <v>69</v>
      </c>
      <c r="D251" s="168"/>
      <c r="E251" s="124">
        <f>0.37242</f>
        <v>0.37241999999999997</v>
      </c>
      <c r="F251" s="124">
        <f>507.23441</f>
        <v>507.23441000000003</v>
      </c>
      <c r="G251" s="168"/>
      <c r="H251" s="124">
        <f>483.98662</f>
        <v>483.98662000000002</v>
      </c>
      <c r="I251" s="246"/>
      <c r="J251" s="122"/>
    </row>
    <row r="252" spans="1:10" ht="16.5" customHeight="1" x14ac:dyDescent="0.25">
      <c r="A252" s="1"/>
      <c r="B252" s="252"/>
      <c r="C252" s="179" t="s">
        <v>90</v>
      </c>
      <c r="D252" s="190">
        <v>10454</v>
      </c>
      <c r="E252" s="190">
        <f>SUM(E249:E251)</f>
        <v>218.19804000000002</v>
      </c>
      <c r="F252" s="190">
        <f>SUM(F249:F251)</f>
        <v>7733.9650800000009</v>
      </c>
      <c r="G252" s="190">
        <f>D252-F252</f>
        <v>2720.0349199999991</v>
      </c>
      <c r="H252" s="190">
        <f>SUM(H249:H251)</f>
        <v>6215.0761899999998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121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140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121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298.18973</f>
        <v>298.18973</v>
      </c>
      <c r="F294" s="77">
        <f>3972.11808</f>
        <v>3972.1180800000002</v>
      </c>
      <c r="G294" s="77"/>
      <c r="H294" s="77">
        <f>2179.25477</f>
        <v>2179.25477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69.87764</f>
        <v>69.87764</v>
      </c>
      <c r="F295" s="77">
        <f>2676.46466</f>
        <v>2676.4646600000001</v>
      </c>
      <c r="G295" s="77"/>
      <c r="H295" s="77">
        <f>2130.84212</f>
        <v>2130.8421199999998</v>
      </c>
      <c r="I295" s="246"/>
      <c r="J295" s="122"/>
    </row>
    <row r="296" spans="1:10" ht="15.75" customHeight="1" x14ac:dyDescent="0.25">
      <c r="A296" s="1"/>
      <c r="B296" s="252"/>
      <c r="C296" s="146" t="s">
        <v>69</v>
      </c>
      <c r="D296" s="168"/>
      <c r="E296" s="124">
        <f>1.2803</f>
        <v>1.2803</v>
      </c>
      <c r="F296" s="124">
        <f>413.4937</f>
        <v>413.49369999999999</v>
      </c>
      <c r="G296" s="168"/>
      <c r="H296" s="124">
        <f>447.16742</f>
        <v>447.16741999999999</v>
      </c>
      <c r="I296" s="246"/>
      <c r="J296" s="122"/>
    </row>
    <row r="297" spans="1:10" ht="16.5" customHeight="1" x14ac:dyDescent="0.25">
      <c r="A297" s="1"/>
      <c r="B297" s="252"/>
      <c r="C297" s="179" t="s">
        <v>90</v>
      </c>
      <c r="D297" s="190">
        <v>8076</v>
      </c>
      <c r="E297" s="190">
        <f>SUM(E294:E296)</f>
        <v>369.34766999999999</v>
      </c>
      <c r="F297" s="190">
        <f>SUM(F294:F296)</f>
        <v>7062.0764399999998</v>
      </c>
      <c r="G297" s="190">
        <f>D297-F297</f>
        <v>1013.9235600000002</v>
      </c>
      <c r="H297" s="190">
        <f>SUM(H294:H296)</f>
        <v>4757.2643099999996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121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92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121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87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93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94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77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51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95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96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97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98</v>
      </c>
      <c r="D348" s="124">
        <v>800</v>
      </c>
      <c r="E348" s="124">
        <f>6.36804</f>
        <v>6.3680399999999997</v>
      </c>
      <c r="F348" s="124">
        <f>399.33093</f>
        <v>399.33093000000002</v>
      </c>
      <c r="G348" s="124">
        <f>D348-F348</f>
        <v>400.66906999999998</v>
      </c>
      <c r="H348" s="124">
        <f>236.1133</f>
        <v>236.11330000000001</v>
      </c>
      <c r="I348" s="70"/>
      <c r="J348" s="242"/>
    </row>
    <row r="349" spans="1:10" ht="14.1" customHeight="1" x14ac:dyDescent="0.25">
      <c r="A349" s="1"/>
      <c r="B349" s="252"/>
      <c r="C349" s="90" t="s">
        <v>99</v>
      </c>
      <c r="D349" s="244">
        <v>2494</v>
      </c>
      <c r="E349" s="124">
        <f>28.603</f>
        <v>28.603000000000002</v>
      </c>
      <c r="F349" s="124">
        <f>1897.05709</f>
        <v>1897.05709</v>
      </c>
      <c r="G349" s="124">
        <f>D349-F349</f>
        <v>596.94290999999998</v>
      </c>
      <c r="H349" s="124">
        <f>1132.73374</f>
        <v>1132.7337399999999</v>
      </c>
      <c r="I349" s="181"/>
      <c r="J349" s="118"/>
    </row>
    <row r="350" spans="1:10" ht="16.5" customHeight="1" x14ac:dyDescent="0.25">
      <c r="A350" s="70"/>
      <c r="B350" s="81"/>
      <c r="C350" s="146" t="s">
        <v>84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0.9169</f>
        <v>0.91690000000000005</v>
      </c>
      <c r="I350" s="70"/>
      <c r="J350" s="247"/>
    </row>
    <row r="351" spans="1:10" ht="18.75" customHeight="1" x14ac:dyDescent="0.25">
      <c r="A351" s="70"/>
      <c r="B351" s="248"/>
      <c r="C351" s="146" t="s">
        <v>100</v>
      </c>
      <c r="D351" s="220"/>
      <c r="E351" s="168">
        <f>0.00425</f>
        <v>4.2500000000000003E-3</v>
      </c>
      <c r="F351" s="168">
        <f>1.6866</f>
        <v>1.6866000000000001</v>
      </c>
      <c r="G351" s="124"/>
      <c r="H351" s="168">
        <f>6.72636</f>
        <v>6.7263599999999997</v>
      </c>
      <c r="I351" s="282"/>
      <c r="J351" s="122"/>
    </row>
    <row r="352" spans="1:10" ht="14.1" customHeight="1" x14ac:dyDescent="0.25">
      <c r="A352" s="1"/>
      <c r="B352" s="252"/>
      <c r="C352" s="179" t="s">
        <v>90</v>
      </c>
      <c r="D352" s="6">
        <f>D337</f>
        <v>3299</v>
      </c>
      <c r="E352" s="190">
        <f>SUM(E348:E351)</f>
        <v>34.975290000000001</v>
      </c>
      <c r="F352" s="190">
        <f>SUM(F348:F351)</f>
        <v>2300.8133599999996</v>
      </c>
      <c r="G352" s="190">
        <f>D352-F352</f>
        <v>998.18664000000035</v>
      </c>
      <c r="H352" s="190">
        <f>H348+H349+H350+H351</f>
        <v>1376.4902999999999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121</v>
      </c>
    </row>
    <row r="356" spans="1:10" ht="14.1" customHeight="1" x14ac:dyDescent="0.25">
      <c r="A356" s="1" t="s">
        <v>121</v>
      </c>
    </row>
    <row r="357" spans="1:10" ht="14.1" customHeight="1" x14ac:dyDescent="0.25">
      <c r="A357" s="1" t="s">
        <v>121</v>
      </c>
    </row>
    <row r="358" spans="1:10" ht="14.1" customHeight="1" x14ac:dyDescent="0.25">
      <c r="A358" s="1"/>
      <c r="C358" s="152" t="s">
        <v>121</v>
      </c>
    </row>
    <row r="359" spans="1:10" ht="36" customHeight="1" x14ac:dyDescent="0.25">
      <c r="A359" s="1"/>
      <c r="C359" s="152" t="s">
        <v>121</v>
      </c>
    </row>
    <row r="360" spans="1:10" ht="14.1" customHeight="1" x14ac:dyDescent="0.25">
      <c r="A360" s="1"/>
      <c r="C360" s="152" t="s">
        <v>121</v>
      </c>
    </row>
    <row r="361" spans="1:10" ht="14.1" customHeight="1" x14ac:dyDescent="0.25">
      <c r="A361" s="1"/>
      <c r="C361" s="152" t="s">
        <v>121</v>
      </c>
    </row>
    <row r="362" spans="1:10" ht="30" customHeight="1" x14ac:dyDescent="0.35">
      <c r="A362" s="216"/>
      <c r="B362" s="1"/>
      <c r="C362" s="213" t="s">
        <v>101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102</v>
      </c>
      <c r="F365" s="187"/>
      <c r="G365" s="151" t="s">
        <v>103</v>
      </c>
      <c r="H365" s="187"/>
      <c r="I365" s="152"/>
      <c r="J365" s="132"/>
    </row>
    <row r="366" spans="1:10" ht="14.25" customHeight="1" x14ac:dyDescent="0.25">
      <c r="B366" s="74"/>
      <c r="C366" s="257" t="s">
        <v>87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94</v>
      </c>
      <c r="D367" s="46">
        <v>19433</v>
      </c>
      <c r="E367" s="181" t="s">
        <v>99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93</v>
      </c>
      <c r="D368" s="46">
        <v>6186</v>
      </c>
      <c r="E368" s="181" t="s">
        <v>61</v>
      </c>
      <c r="F368" s="49">
        <v>5500</v>
      </c>
      <c r="G368" s="246" t="s">
        <v>104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105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51</v>
      </c>
      <c r="D370" s="35">
        <v>53374</v>
      </c>
      <c r="E370" s="175" t="s">
        <v>106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122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107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108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166.74857</v>
      </c>
      <c r="G378" s="251">
        <f t="shared" si="15"/>
        <v>8412.5999000000011</v>
      </c>
      <c r="H378" s="251">
        <f>H382+H381+H380+H379</f>
        <v>7689.4000999999989</v>
      </c>
      <c r="I378" s="251">
        <f t="shared" si="15"/>
        <v>3980.8232699999999</v>
      </c>
      <c r="J378" s="132"/>
    </row>
    <row r="379" spans="1:10" ht="14.1" customHeight="1" x14ac:dyDescent="0.25">
      <c r="A379" s="216"/>
      <c r="B379" s="74"/>
      <c r="C379" s="253" t="s">
        <v>109</v>
      </c>
      <c r="D379" s="254">
        <v>6472</v>
      </c>
      <c r="E379" s="254">
        <v>8177</v>
      </c>
      <c r="F379" s="255">
        <f>127.66815</f>
        <v>127.66815</v>
      </c>
      <c r="G379" s="255">
        <f>3855.38628</f>
        <v>3855.3862800000002</v>
      </c>
      <c r="H379" s="255">
        <f t="shared" ref="H379:H383" si="16">E379-G379</f>
        <v>4321.6137199999994</v>
      </c>
      <c r="I379" s="255">
        <f>1651.11808</f>
        <v>1651.11808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892.13805</f>
        <v>892.13805000000002</v>
      </c>
      <c r="H380" s="255">
        <f t="shared" si="16"/>
        <v>1235.86195</v>
      </c>
      <c r="I380" s="255">
        <f>490.4118</f>
        <v>490.41180000000003</v>
      </c>
      <c r="J380" s="132"/>
    </row>
    <row r="381" spans="1:10" ht="14.1" customHeight="1" x14ac:dyDescent="0.25">
      <c r="A381" s="216"/>
      <c r="B381" s="74"/>
      <c r="C381" s="258" t="s">
        <v>105</v>
      </c>
      <c r="D381" s="254">
        <v>1313</v>
      </c>
      <c r="E381" s="254">
        <v>1357</v>
      </c>
      <c r="F381" s="255">
        <f>21.32342</f>
        <v>21.323419999999999</v>
      </c>
      <c r="G381" s="255">
        <f>1512.54227</f>
        <v>1512.5422699999999</v>
      </c>
      <c r="H381" s="255">
        <f t="shared" si="16"/>
        <v>-155.54226999999992</v>
      </c>
      <c r="I381" s="255">
        <f>1119.46899</f>
        <v>1119.4689900000001</v>
      </c>
      <c r="J381" s="132"/>
    </row>
    <row r="382" spans="1:10" ht="14.1" customHeight="1" x14ac:dyDescent="0.25">
      <c r="A382" s="216"/>
      <c r="B382" s="74"/>
      <c r="C382" s="260" t="s">
        <v>110</v>
      </c>
      <c r="D382" s="261">
        <v>4296</v>
      </c>
      <c r="E382" s="261">
        <v>4440</v>
      </c>
      <c r="F382" s="255">
        <f>17.757</f>
        <v>17.757000000000001</v>
      </c>
      <c r="G382" s="255">
        <f>2152.5333</f>
        <v>2152.5333000000001</v>
      </c>
      <c r="H382" s="255">
        <f t="shared" si="16"/>
        <v>2287.4666999999999</v>
      </c>
      <c r="I382" s="255">
        <f>719.8244</f>
        <v>719.82439999999997</v>
      </c>
      <c r="J382" s="132"/>
    </row>
    <row r="383" spans="1:10" ht="14.1" customHeight="1" x14ac:dyDescent="0.25">
      <c r="A383" s="216"/>
      <c r="B383" s="74"/>
      <c r="C383" s="263" t="s">
        <v>61</v>
      </c>
      <c r="D383" s="264">
        <v>5500</v>
      </c>
      <c r="E383" s="264">
        <v>5500</v>
      </c>
      <c r="F383" s="266">
        <f>0.1</f>
        <v>0.1</v>
      </c>
      <c r="G383" s="266">
        <f>5098.25528</f>
        <v>5098.2552800000003</v>
      </c>
      <c r="H383" s="266">
        <f t="shared" si="16"/>
        <v>401.74471999999969</v>
      </c>
      <c r="I383" s="266">
        <f>4538.53168</f>
        <v>4538.5316800000001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92.190820000000002</v>
      </c>
      <c r="G384" s="267">
        <f>G386+G385</f>
        <v>2698.4758099999999</v>
      </c>
      <c r="H384" s="267">
        <f>E384-G384</f>
        <v>5301.5241900000001</v>
      </c>
      <c r="I384" s="267">
        <f>I386+I385</f>
        <v>2502.4292599999999</v>
      </c>
      <c r="J384" s="132"/>
    </row>
    <row r="385" spans="1:10" ht="14.1" customHeight="1" x14ac:dyDescent="0.25">
      <c r="A385" s="216"/>
      <c r="B385" s="74"/>
      <c r="C385" s="258" t="s">
        <v>55</v>
      </c>
      <c r="D385" s="269"/>
      <c r="E385" s="254"/>
      <c r="F385" s="255">
        <f>0</f>
        <v>0</v>
      </c>
      <c r="G385" s="255">
        <f>864.73709</f>
        <v>864.73708999999997</v>
      </c>
      <c r="H385" s="255"/>
      <c r="I385" s="255">
        <f>989.47643</f>
        <v>989.47643000000005</v>
      </c>
      <c r="J385" s="132"/>
    </row>
    <row r="386" spans="1:10" ht="14.1" customHeight="1" x14ac:dyDescent="0.25">
      <c r="A386" s="216"/>
      <c r="B386" s="74"/>
      <c r="C386" s="271" t="s">
        <v>111</v>
      </c>
      <c r="D386" s="272"/>
      <c r="E386" s="275"/>
      <c r="F386" s="276">
        <f>92.19082</f>
        <v>92.190820000000002</v>
      </c>
      <c r="G386" s="276">
        <f>1833.73872</f>
        <v>1833.7387200000001</v>
      </c>
      <c r="H386" s="276"/>
      <c r="I386" s="276">
        <f>1512.95283</f>
        <v>1512.9528299999999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0.1593</f>
        <v>0.1593</v>
      </c>
      <c r="J387" s="132"/>
    </row>
    <row r="388" spans="1:10" ht="14.1" customHeight="1" x14ac:dyDescent="0.25">
      <c r="A388" s="216"/>
      <c r="B388" s="74"/>
      <c r="C388" s="277" t="s">
        <v>112</v>
      </c>
      <c r="D388" s="280"/>
      <c r="E388" s="281"/>
      <c r="F388" s="266">
        <f>2.42144</f>
        <v>2.42144</v>
      </c>
      <c r="G388" s="266">
        <f>70.85738</f>
        <v>70.857380000000006</v>
      </c>
      <c r="H388" s="266">
        <f>E388-G388</f>
        <v>-70.857380000000006</v>
      </c>
      <c r="I388" s="266">
        <f>220.9599</f>
        <v>220.9599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261.46083000000004</v>
      </c>
      <c r="G389" s="285">
        <f t="shared" si="17"/>
        <v>16280.261870000002</v>
      </c>
      <c r="H389" s="285">
        <f>H378+H383+H384+H387+H388</f>
        <v>13331.738129999998</v>
      </c>
      <c r="I389" s="285">
        <f t="shared" si="17"/>
        <v>11242.903410000001</v>
      </c>
      <c r="J389" s="132"/>
    </row>
    <row r="390" spans="1:10" ht="14.1" customHeight="1" x14ac:dyDescent="0.25">
      <c r="A390" s="216"/>
      <c r="B390" s="74"/>
      <c r="C390" s="163" t="s">
        <v>113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123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124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121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121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121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114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115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94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77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51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116</v>
      </c>
      <c r="D410" s="22" t="s">
        <v>117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118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119</v>
      </c>
      <c r="D414" s="10"/>
      <c r="E414" s="26">
        <f>SUM(E415:E416)</f>
        <v>40.850899999999996</v>
      </c>
      <c r="F414" s="26">
        <f>SUM(F415:F416)</f>
        <v>1292.40254</v>
      </c>
      <c r="G414" s="87"/>
      <c r="H414" s="26">
        <f>SUM(H415:H416)</f>
        <v>1512.5233699999999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31.304</f>
        <v>31.303999999999998</v>
      </c>
      <c r="F415" s="30">
        <f>999.27937</f>
        <v>999.27936999999997</v>
      </c>
      <c r="G415" s="99"/>
      <c r="H415" s="30">
        <f>1191.0274</f>
        <v>1191.0273999999999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9.5469</f>
        <v>9.5469000000000008</v>
      </c>
      <c r="F416" s="30">
        <f>293.12317</f>
        <v>293.12317000000002</v>
      </c>
      <c r="G416" s="110"/>
      <c r="H416" s="30">
        <f>321.49597</f>
        <v>321.49597</v>
      </c>
      <c r="I416" s="152"/>
      <c r="J416" s="132"/>
    </row>
    <row r="417" spans="1:10" ht="14.1" customHeight="1" x14ac:dyDescent="0.25">
      <c r="A417" s="216"/>
      <c r="B417" s="74"/>
      <c r="C417" s="263" t="s">
        <v>120</v>
      </c>
      <c r="D417" s="10"/>
      <c r="E417" s="36">
        <f>SUM(E418:E419)</f>
        <v>0</v>
      </c>
      <c r="F417" s="36">
        <f>SUM(F418:F419)</f>
        <v>0</v>
      </c>
      <c r="G417" s="87"/>
      <c r="H417" s="36">
        <f>SUM(H418:H419)</f>
        <v>0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0</f>
        <v>0</v>
      </c>
      <c r="F418" s="30">
        <f>0</f>
        <v>0</v>
      </c>
      <c r="G418" s="99"/>
      <c r="H418" s="30">
        <f>0</f>
        <v>0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0</f>
        <v>0</v>
      </c>
      <c r="F419" s="30">
        <f>0</f>
        <v>0</v>
      </c>
      <c r="G419" s="110"/>
      <c r="H419" s="30">
        <f>0</f>
        <v>0</v>
      </c>
      <c r="I419" s="152"/>
      <c r="J419" s="132"/>
    </row>
    <row r="420" spans="1:10" ht="14.1" customHeight="1" x14ac:dyDescent="0.25">
      <c r="A420" s="216"/>
      <c r="B420" s="74"/>
      <c r="C420" s="277" t="s">
        <v>100</v>
      </c>
      <c r="D420" s="37"/>
      <c r="E420" s="39"/>
      <c r="F420" s="39"/>
      <c r="G420" s="40"/>
      <c r="H420" s="39"/>
      <c r="I420" s="152"/>
      <c r="J420" s="132"/>
    </row>
    <row r="421" spans="1:10" ht="14.1" customHeight="1" thickBot="1" x14ac:dyDescent="0.3">
      <c r="A421" s="216"/>
      <c r="B421" s="74"/>
      <c r="C421" s="283" t="s">
        <v>90</v>
      </c>
      <c r="D421" s="41"/>
      <c r="E421" s="42">
        <f>E411+E414+E417+E420</f>
        <v>40.850899999999996</v>
      </c>
      <c r="F421" s="42">
        <f>F411+F414+F417+F420</f>
        <v>3489.1496699999998</v>
      </c>
      <c r="G421" s="43"/>
      <c r="H421" s="42">
        <f>H411+H414+H417+H420</f>
        <v>2900.1556999999998</v>
      </c>
      <c r="I421" s="27"/>
      <c r="J421" s="132"/>
    </row>
    <row r="422" spans="1:10" ht="36" customHeight="1" x14ac:dyDescent="0.25">
      <c r="A422" s="216"/>
      <c r="B422" s="74"/>
      <c r="C422" s="290" t="s">
        <v>148</v>
      </c>
      <c r="D422" s="290"/>
      <c r="E422" s="290"/>
      <c r="F422" s="290"/>
      <c r="G422" s="290"/>
      <c r="H422" s="152"/>
      <c r="I422" s="152"/>
      <c r="J422" s="132"/>
    </row>
    <row r="423" spans="1:10" ht="14.1" customHeight="1" thickBot="1" x14ac:dyDescent="0.3">
      <c r="A423" s="216"/>
      <c r="B423" s="8"/>
      <c r="C423" s="212"/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2">
    <mergeCell ref="C422:G422"/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32&amp;R14.08.2023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2023-08-14T08:18:05Z</dcterms:modified>
</cp:coreProperties>
</file>