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EF7CC703-B1CC-4CA1-9A2C-53C043F8285D}" xr6:coauthVersionLast="47" xr6:coauthVersionMax="47" xr10:uidLastSave="{00000000-0000-0000-0000-000000000000}"/>
  <bookViews>
    <workbookView xWindow="19200" yWindow="0" windowWidth="19200" windowHeight="156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423" i="1" l="1"/>
  <c r="H422" i="1"/>
  <c r="F422" i="1"/>
  <c r="G422" i="1" s="1"/>
  <c r="E422" i="1"/>
  <c r="H421" i="1"/>
  <c r="F421" i="1"/>
  <c r="F419" i="1" s="1"/>
  <c r="G419" i="1" s="1"/>
  <c r="E421" i="1"/>
  <c r="H420" i="1"/>
  <c r="F420" i="1"/>
  <c r="E420" i="1"/>
  <c r="E419" i="1" s="1"/>
  <c r="H419" i="1"/>
  <c r="H418" i="1"/>
  <c r="F418" i="1"/>
  <c r="E418" i="1"/>
  <c r="H417" i="1"/>
  <c r="H416" i="1" s="1"/>
  <c r="F417" i="1"/>
  <c r="F416" i="1" s="1"/>
  <c r="G416" i="1" s="1"/>
  <c r="E417" i="1"/>
  <c r="E416" i="1"/>
  <c r="H415" i="1"/>
  <c r="F415" i="1"/>
  <c r="E415" i="1"/>
  <c r="E413" i="1" s="1"/>
  <c r="H414" i="1"/>
  <c r="F414" i="1"/>
  <c r="F413" i="1" s="1"/>
  <c r="E414" i="1"/>
  <c r="H413" i="1"/>
  <c r="H423" i="1" s="1"/>
  <c r="I390" i="1"/>
  <c r="G390" i="1"/>
  <c r="H390" i="1" s="1"/>
  <c r="F390" i="1"/>
  <c r="I389" i="1"/>
  <c r="G389" i="1"/>
  <c r="H389" i="1" s="1"/>
  <c r="F389" i="1"/>
  <c r="I388" i="1"/>
  <c r="G388" i="1"/>
  <c r="G386" i="1" s="1"/>
  <c r="F388" i="1"/>
  <c r="F386" i="1" s="1"/>
  <c r="I387" i="1"/>
  <c r="I386" i="1" s="1"/>
  <c r="G387" i="1"/>
  <c r="F387" i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H380" i="1" s="1"/>
  <c r="G383" i="1"/>
  <c r="F383" i="1"/>
  <c r="F380" i="1" s="1"/>
  <c r="F391" i="1" s="1"/>
  <c r="I382" i="1"/>
  <c r="H382" i="1"/>
  <c r="G382" i="1"/>
  <c r="F382" i="1"/>
  <c r="I381" i="1"/>
  <c r="H381" i="1"/>
  <c r="G381" i="1"/>
  <c r="F381" i="1"/>
  <c r="G380" i="1"/>
  <c r="D380" i="1"/>
  <c r="D391" i="1" s="1"/>
  <c r="H372" i="1"/>
  <c r="F372" i="1"/>
  <c r="G354" i="1"/>
  <c r="F354" i="1"/>
  <c r="D354" i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H354" i="1" s="1"/>
  <c r="G350" i="1"/>
  <c r="F350" i="1"/>
  <c r="E350" i="1"/>
  <c r="E354" i="1" s="1"/>
  <c r="D343" i="1"/>
  <c r="H299" i="1"/>
  <c r="D299" i="1"/>
  <c r="H298" i="1"/>
  <c r="F298" i="1"/>
  <c r="G298" i="1" s="1"/>
  <c r="E298" i="1"/>
  <c r="H297" i="1"/>
  <c r="F297" i="1"/>
  <c r="E297" i="1"/>
  <c r="E295" i="1" s="1"/>
  <c r="E299" i="1" s="1"/>
  <c r="H296" i="1"/>
  <c r="F296" i="1"/>
  <c r="F295" i="1" s="1"/>
  <c r="E296" i="1"/>
  <c r="H295" i="1"/>
  <c r="D253" i="1"/>
  <c r="H252" i="1"/>
  <c r="F252" i="1"/>
  <c r="G252" i="1" s="1"/>
  <c r="E252" i="1"/>
  <c r="H251" i="1"/>
  <c r="F251" i="1"/>
  <c r="E251" i="1"/>
  <c r="H250" i="1"/>
  <c r="H249" i="1" s="1"/>
  <c r="H253" i="1" s="1"/>
  <c r="F250" i="1"/>
  <c r="F249" i="1" s="1"/>
  <c r="E250" i="1"/>
  <c r="E249" i="1"/>
  <c r="E253" i="1" s="1"/>
  <c r="F207" i="1"/>
  <c r="G207" i="1" s="1"/>
  <c r="D207" i="1"/>
  <c r="H206" i="1"/>
  <c r="F206" i="1"/>
  <c r="G206" i="1" s="1"/>
  <c r="E206" i="1"/>
  <c r="H205" i="1"/>
  <c r="G205" i="1"/>
  <c r="F205" i="1"/>
  <c r="E205" i="1"/>
  <c r="H204" i="1"/>
  <c r="H207" i="1" s="1"/>
  <c r="F204" i="1"/>
  <c r="G204" i="1" s="1"/>
  <c r="E204" i="1"/>
  <c r="E207" i="1" s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H177" i="1"/>
  <c r="F177" i="1"/>
  <c r="G177" i="1" s="1"/>
  <c r="E177" i="1"/>
  <c r="H176" i="1"/>
  <c r="F176" i="1"/>
  <c r="E176" i="1"/>
  <c r="H175" i="1"/>
  <c r="H184" i="1" s="1"/>
  <c r="F175" i="1"/>
  <c r="E175" i="1"/>
  <c r="E184" i="1" s="1"/>
  <c r="D167" i="1"/>
  <c r="D169" i="1" s="1"/>
  <c r="I148" i="1"/>
  <c r="H148" i="1"/>
  <c r="G148" i="1"/>
  <c r="F148" i="1"/>
  <c r="I147" i="1"/>
  <c r="G147" i="1"/>
  <c r="H147" i="1" s="1"/>
  <c r="F147" i="1"/>
  <c r="H146" i="1"/>
  <c r="I145" i="1"/>
  <c r="G145" i="1"/>
  <c r="H145" i="1" s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F139" i="1" s="1"/>
  <c r="I140" i="1"/>
  <c r="G140" i="1"/>
  <c r="H140" i="1" s="1"/>
  <c r="H139" i="1" s="1"/>
  <c r="F140" i="1"/>
  <c r="I139" i="1"/>
  <c r="G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F134" i="1" s="1"/>
  <c r="F133" i="1" s="1"/>
  <c r="G134" i="1"/>
  <c r="E134" i="1"/>
  <c r="E133" i="1" s="1"/>
  <c r="D134" i="1"/>
  <c r="D133" i="1" s="1"/>
  <c r="D150" i="1" s="1"/>
  <c r="I132" i="1"/>
  <c r="H132" i="1"/>
  <c r="F132" i="1"/>
  <c r="I131" i="1"/>
  <c r="G131" i="1"/>
  <c r="H131" i="1" s="1"/>
  <c r="F131" i="1"/>
  <c r="I130" i="1"/>
  <c r="I128" i="1" s="1"/>
  <c r="H130" i="1"/>
  <c r="G130" i="1"/>
  <c r="F130" i="1"/>
  <c r="I129" i="1"/>
  <c r="G129" i="1"/>
  <c r="G128" i="1" s="1"/>
  <c r="F129" i="1"/>
  <c r="F128" i="1"/>
  <c r="F150" i="1" s="1"/>
  <c r="E128" i="1"/>
  <c r="E150" i="1" s="1"/>
  <c r="D128" i="1"/>
  <c r="C126" i="1"/>
  <c r="I106" i="1"/>
  <c r="H106" i="1"/>
  <c r="G106" i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H97" i="1" s="1"/>
  <c r="F97" i="1"/>
  <c r="F96" i="1"/>
  <c r="F95" i="1" s="1"/>
  <c r="E96" i="1"/>
  <c r="E95" i="1" s="1"/>
  <c r="E107" i="1" s="1"/>
  <c r="D96" i="1"/>
  <c r="D95" i="1"/>
  <c r="D107" i="1" s="1"/>
  <c r="I94" i="1"/>
  <c r="I92" i="1" s="1"/>
  <c r="I107" i="1" s="1"/>
  <c r="G94" i="1"/>
  <c r="H94" i="1" s="1"/>
  <c r="H92" i="1" s="1"/>
  <c r="F94" i="1"/>
  <c r="F92" i="1" s="1"/>
  <c r="I93" i="1"/>
  <c r="H93" i="1"/>
  <c r="G93" i="1"/>
  <c r="F93" i="1"/>
  <c r="G92" i="1"/>
  <c r="E92" i="1"/>
  <c r="D92" i="1"/>
  <c r="C89" i="1"/>
  <c r="H85" i="1"/>
  <c r="F85" i="1"/>
  <c r="D85" i="1"/>
  <c r="G61" i="1"/>
  <c r="G60" i="1"/>
  <c r="H55" i="1"/>
  <c r="I32" i="1" s="1"/>
  <c r="F55" i="1"/>
  <c r="G55" i="1" s="1"/>
  <c r="E55" i="1"/>
  <c r="F32" i="1" s="1"/>
  <c r="F27" i="1" s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F34" i="1" s="1"/>
  <c r="I35" i="1"/>
  <c r="G35" i="1"/>
  <c r="F35" i="1"/>
  <c r="E35" i="1"/>
  <c r="H35" i="1" s="1"/>
  <c r="I34" i="1"/>
  <c r="D34" i="1"/>
  <c r="I33" i="1"/>
  <c r="G33" i="1"/>
  <c r="H33" i="1" s="1"/>
  <c r="F33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E27" i="1"/>
  <c r="D27" i="1"/>
  <c r="E26" i="1"/>
  <c r="D26" i="1"/>
  <c r="I25" i="1"/>
  <c r="G25" i="1"/>
  <c r="H25" i="1" s="1"/>
  <c r="H23" i="1" s="1"/>
  <c r="F25" i="1"/>
  <c r="I24" i="1"/>
  <c r="I23" i="1" s="1"/>
  <c r="G24" i="1"/>
  <c r="H24" i="1" s="1"/>
  <c r="F24" i="1"/>
  <c r="F23" i="1" s="1"/>
  <c r="G23" i="1"/>
  <c r="E23" i="1"/>
  <c r="E44" i="1" s="1"/>
  <c r="D23" i="1"/>
  <c r="D44" i="1" s="1"/>
  <c r="H16" i="1"/>
  <c r="F16" i="1"/>
  <c r="D16" i="1"/>
  <c r="G133" i="1" l="1"/>
  <c r="G150" i="1" s="1"/>
  <c r="I27" i="1"/>
  <c r="I26" i="1" s="1"/>
  <c r="I44" i="1" s="1"/>
  <c r="G34" i="1"/>
  <c r="H34" i="1" s="1"/>
  <c r="H26" i="1" s="1"/>
  <c r="H44" i="1" s="1"/>
  <c r="I150" i="1"/>
  <c r="F423" i="1"/>
  <c r="G423" i="1" s="1"/>
  <c r="G413" i="1"/>
  <c r="F184" i="1"/>
  <c r="G184" i="1" s="1"/>
  <c r="G249" i="1"/>
  <c r="F253" i="1"/>
  <c r="G253" i="1" s="1"/>
  <c r="E423" i="1"/>
  <c r="F107" i="1"/>
  <c r="H96" i="1"/>
  <c r="H95" i="1" s="1"/>
  <c r="G295" i="1"/>
  <c r="F299" i="1"/>
  <c r="G299" i="1" s="1"/>
  <c r="H27" i="1"/>
  <c r="F26" i="1"/>
  <c r="F44" i="1" s="1"/>
  <c r="H107" i="1"/>
  <c r="H134" i="1"/>
  <c r="H133" i="1" s="1"/>
  <c r="G391" i="1"/>
  <c r="H386" i="1"/>
  <c r="H391" i="1" s="1"/>
  <c r="G96" i="1"/>
  <c r="G95" i="1" s="1"/>
  <c r="G107" i="1" s="1"/>
  <c r="G27" i="1"/>
  <c r="H129" i="1"/>
  <c r="H128" i="1" s="1"/>
  <c r="G175" i="1"/>
  <c r="H150" i="1" l="1"/>
  <c r="G26" i="1"/>
  <c r="G44" i="1" s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<sst xmlns="http://schemas.openxmlformats.org/spreadsheetml/2006/main" count="359" uniqueCount="151">
  <si>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</si>
  <si>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</si>
  <si>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</si>
  <si>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</si>
  <si>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</si>
  <si>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</si>
  <si>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</si>
  <si>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</si>
  <si>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</si>
  <si>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</si>
  <si>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</si>
  <si>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</si>
  <si>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</si>
  <si>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</si>
  <si>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</si>
  <si>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</si>
  <si>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</si>
  <si>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</si>
  <si>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</si>
  <si>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</si>
  <si>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</si>
  <si>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</si>
  <si>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</si>
  <si>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</si>
  <si>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</si>
  <si>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</si>
  <si>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</si>
  <si>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</si>
  <si>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</si>
  <si>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</si>
  <si>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</si>
  <si>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</si>
  <si>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</si>
  <si>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</si>
  <si>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</si>
  <si>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</si>
  <si>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</si>
  <si>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</si>
  <si>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</si>
  <si>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</si>
  <si>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</si>
  <si>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</si>
  <si>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</si>
  <si>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</si>
  <si>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</si>
  <si>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</si>
  <si>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</si>
  <si>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</si>
  <si>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</si>
  <si>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</si>
  <si>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</si>
  <si>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</si>
  <si>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</si>
  <si>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</si>
  <si>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</si>
  <si>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</si>
  <si>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</si>
  <si>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</si>
  <si>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</si>
  <si>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</si>
  <si>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</si>
  <si>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</si>
  <si>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</si>
  <si>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</si>
  <si>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</si>
  <si>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</si>
  <si>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</si>
  <si>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</si>
  <si>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</si>
  <si>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</si>
  <si>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</si>
  <si>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</si>
  <si>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</si>
  <si>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</si>
  <si>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</si>
  <si>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</si>
  <si>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</si>
  <si>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</si>
  <si>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</si>
  <si>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</si>
  <si>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</si>
  <si>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</si>
  <si>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</si>
  <si>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</si>
  <si>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</si>
  <si>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</si>
  <si>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</si>
  <si>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</si>
  <si>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</si>
  <si>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</si>
  <si>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</si>
  <si>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</si>
  <si>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</si>
  <si>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</si>
  <si>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</si>
  <si>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</si>
  <si>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</si>
  <si>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</si>
  <si>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</si>
  <si>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</si>
  <si>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</si>
  <si>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</si>
  <si>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</si>
  <si>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</si>
  <si>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</si>
  <si>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</si>
  <si>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</si>
  <si>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</si>
  <si>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</si>
  <si>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</si>
  <si>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</si>
  <si>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</si>
  <si>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</si>
  <si>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</si>
  <si>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</si>
  <si>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</si>
  <si>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</si>
  <si>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</si>
  <si>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</si>
  <si>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</si>
  <si>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</si>
  <si>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</si>
  <si>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</si>
  <si>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</si>
  <si>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</si>
  <si>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</si>
  <si>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</si>
  <si>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</si>
  <si>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</si>
  <si>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</si>
  <si>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</si>
  <si>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</si>
  <si>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</si>
  <si>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</si>
  <si>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</si>
  <si>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</si>
  <si>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</si>
  <si>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</si>
  <si>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</si>
  <si>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</si>
  <si>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</si>
  <si>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</si>
  <si>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</si>
  <si>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2 Registrert rekreasjonsfiske utgjør 59 tonn, men det legges til grunn at hele avsetningen tas</t>
  </si>
  <si>
    <t>4 Registrert rekreasjonsfiske utgjør 468 tonn, men det legges til grunn at hele avsetningen tas</t>
  </si>
  <si>
    <t>3 Registrert rekreasjonsfiske utgjør 848 tonn, men det legges til grunn at hele avsetningen tas</t>
  </si>
  <si>
    <t>FANGST UKE 34</t>
  </si>
  <si>
    <t>FANGST T.O.M UKE 34</t>
  </si>
  <si>
    <t>RESTKVOTER UKE 34</t>
  </si>
  <si>
    <t>FANGST T.O.M UKE 34 2023</t>
  </si>
  <si>
    <r>
      <t>3</t>
    </r>
    <r>
      <rPr>
        <sz val="9"/>
        <color indexed="8"/>
        <rFont val="Calibri"/>
        <family val="2"/>
      </rPr>
      <t xml:space="preserve"> Det er fisket 3987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</si>
</sst>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127" zoomScale="85" zoomScaleNormal="85" zoomScaleSheetLayoutView="100" zoomScalePageLayoutView="85" workbookViewId="0">
      <selection activeCell="G132" sqref="G13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3" t="s">
        <v>120</v>
      </c>
      <c r="C2" s="294"/>
      <c r="D2" s="294"/>
      <c r="E2" s="294"/>
      <c r="F2" s="294"/>
      <c r="G2" s="294"/>
      <c r="H2" s="294"/>
      <c r="I2" s="294"/>
      <c r="J2" s="295"/>
    </row>
    <row r="3" spans="1:10" ht="14.85" customHeight="1" x14ac:dyDescent="0.25">
      <c r="A3" s="1"/>
      <c r="B3" s="1"/>
      <c r="C3" s="1" t="s">
        <v>115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115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115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115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115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2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25">
      <c r="A17" s="101"/>
      <c r="B17" s="24"/>
      <c r="C17" s="292" t="s">
        <v>139</v>
      </c>
      <c r="D17" s="292"/>
      <c r="E17" s="292"/>
      <c r="F17" s="292"/>
      <c r="G17" s="292"/>
      <c r="H17" s="292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" customHeight="1" x14ac:dyDescent="0.2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161.46880999999999</v>
      </c>
      <c r="G23" s="28">
        <f t="shared" si="0"/>
        <v>38405.822749999999</v>
      </c>
      <c r="H23" s="11">
        <f t="shared" si="0"/>
        <v>22406.177250000004</v>
      </c>
      <c r="I23" s="11">
        <f t="shared" si="0"/>
        <v>54233.553879999999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61689</v>
      </c>
      <c r="E24" s="45">
        <v>60042</v>
      </c>
      <c r="F24" s="23">
        <f>157.66331</f>
        <v>157.66331</v>
      </c>
      <c r="G24" s="23">
        <f>37879.46846</f>
        <v>37879.468459999996</v>
      </c>
      <c r="H24" s="23">
        <f>E24-G24</f>
        <v>22162.531540000004</v>
      </c>
      <c r="I24" s="23">
        <f>53893.06203</f>
        <v>53893.062030000001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770</v>
      </c>
      <c r="F25" s="171">
        <f>3.8055</f>
        <v>3.8054999999999999</v>
      </c>
      <c r="G25" s="23">
        <f>526.35429</f>
        <v>526.35428999999999</v>
      </c>
      <c r="H25" s="23">
        <f>E25-G25</f>
        <v>243.64571000000001</v>
      </c>
      <c r="I25" s="23">
        <f>340.49185</f>
        <v>340.49185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1716.0413800000001</v>
      </c>
      <c r="G26" s="11">
        <f t="shared" si="1"/>
        <v>123654.49038999999</v>
      </c>
      <c r="H26" s="11">
        <f t="shared" si="1"/>
        <v>21219.509610000001</v>
      </c>
      <c r="I26" s="11">
        <f t="shared" si="1"/>
        <v>173187.89861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1429.3253</v>
      </c>
      <c r="G27" s="132">
        <f t="shared" ref="G27:I27" si="2">G28+G29+G30+G31+G32</f>
        <v>100659.30095999999</v>
      </c>
      <c r="H27" s="132">
        <f t="shared" si="2"/>
        <v>12318.69904</v>
      </c>
      <c r="I27" s="132">
        <f t="shared" si="2"/>
        <v>137192.90736000001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97.35476</f>
        <v>97.354759999999999</v>
      </c>
      <c r="G28" s="127">
        <f>26293.56378 - F56</f>
        <v>25791.56378</v>
      </c>
      <c r="H28" s="127">
        <f t="shared" ref="H28:H40" si="3">E28-G28</f>
        <v>2838.4362199999996</v>
      </c>
      <c r="I28" s="127">
        <f>36933.93202 - H56</f>
        <v>36408.93202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223.07104</f>
        <v>223.07104000000001</v>
      </c>
      <c r="G29" s="127">
        <f>28119.83824 - F57</f>
        <v>27341.838240000001</v>
      </c>
      <c r="H29" s="127">
        <f t="shared" si="3"/>
        <v>2323.161759999999</v>
      </c>
      <c r="I29" s="127">
        <f>38552.67011 - H57</f>
        <v>37541.670109999999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117.70806</f>
        <v>117.70806</v>
      </c>
      <c r="G30" s="127">
        <f>26599.04161 - F58</f>
        <v>25546.04161</v>
      </c>
      <c r="H30" s="127">
        <f t="shared" si="3"/>
        <v>1697.9583899999998</v>
      </c>
      <c r="I30" s="127">
        <f>36861.54169 - H58</f>
        <v>34868.541689999998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53.19144</f>
        <v>53.19144</v>
      </c>
      <c r="G31" s="127">
        <f>19646.85733 - F59</f>
        <v>18856.857329999999</v>
      </c>
      <c r="H31" s="127">
        <f t="shared" si="3"/>
        <v>482.14267000000109</v>
      </c>
      <c r="I31" s="127">
        <f>24844.76354 - H59</f>
        <v>23933.76354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938</v>
      </c>
      <c r="G32" s="127">
        <f>F55</f>
        <v>3123</v>
      </c>
      <c r="H32" s="127">
        <f t="shared" si="3"/>
        <v>4977</v>
      </c>
      <c r="I32" s="127">
        <f>H55</f>
        <v>4440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195.61264</f>
        <v>195.61264</v>
      </c>
      <c r="G33" s="132">
        <f>10982.77848</f>
        <v>10982.778480000001</v>
      </c>
      <c r="H33" s="132">
        <f t="shared" si="3"/>
        <v>5876.2215199999991</v>
      </c>
      <c r="I33" s="132">
        <f>15801.41532</f>
        <v>15801.41532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91.103440000000006</v>
      </c>
      <c r="G34" s="132">
        <f>G35+G36</f>
        <v>12012.41095</v>
      </c>
      <c r="H34" s="132">
        <f t="shared" si="3"/>
        <v>3024.5890500000005</v>
      </c>
      <c r="I34" s="132">
        <f>I35+I36</f>
        <v>20193.575929999999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54.10344</f>
        <v>54.103439999999999</v>
      </c>
      <c r="G35" s="132">
        <f>14801.41095 - F60 - F61</f>
        <v>11670.41095</v>
      </c>
      <c r="H35" s="127">
        <f t="shared" si="3"/>
        <v>2406.5890500000005</v>
      </c>
      <c r="I35" s="127">
        <f>24537.57593 - H60 - H61</f>
        <v>19789.575929999999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37</v>
      </c>
      <c r="G36" s="71">
        <f>F60</f>
        <v>342</v>
      </c>
      <c r="H36" s="71">
        <f t="shared" si="3"/>
        <v>618</v>
      </c>
      <c r="I36" s="71">
        <f>H60</f>
        <v>404</v>
      </c>
      <c r="J36" s="65"/>
    </row>
    <row r="37" spans="1:13" ht="15.75" customHeight="1" x14ac:dyDescent="0.2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0</f>
        <v>0</v>
      </c>
      <c r="G38" s="98">
        <f>471.27873</f>
        <v>471.27873</v>
      </c>
      <c r="H38" s="98">
        <f t="shared" si="3"/>
        <v>383.72127</v>
      </c>
      <c r="I38" s="98">
        <f>487.17224</f>
        <v>487.17223999999999</v>
      </c>
      <c r="J38" s="244"/>
    </row>
    <row r="39" spans="1:13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E61</f>
        <v>46</v>
      </c>
      <c r="G39" s="98">
        <f>F61</f>
        <v>2789</v>
      </c>
      <c r="H39" s="98">
        <f t="shared" si="3"/>
        <v>211</v>
      </c>
      <c r="I39" s="98">
        <f>H61</f>
        <v>4344</v>
      </c>
      <c r="J39" s="244"/>
    </row>
    <row r="40" spans="1:13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1.87914</f>
        <v>1.87914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25">
      <c r="A41" s="1"/>
      <c r="B41" s="254"/>
      <c r="C41" s="73" t="s">
        <v>38</v>
      </c>
      <c r="D41" s="143">
        <v>400</v>
      </c>
      <c r="E41" s="143">
        <v>400</v>
      </c>
      <c r="F41" s="98">
        <f>1.88435</f>
        <v>1.88435</v>
      </c>
      <c r="G41" s="98">
        <f>335.06956</f>
        <v>335.06956000000002</v>
      </c>
      <c r="H41" s="98">
        <f>E41-G41</f>
        <v>64.930439999999976</v>
      </c>
      <c r="I41" s="98">
        <f>353.18165</f>
        <v>353.18164999999999</v>
      </c>
      <c r="J41" s="244"/>
    </row>
    <row r="42" spans="1:13" ht="17.25" customHeight="1" x14ac:dyDescent="0.25">
      <c r="A42" s="1"/>
      <c r="B42" s="254"/>
      <c r="C42" s="73" t="s">
        <v>127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" customHeight="1" x14ac:dyDescent="0.25">
      <c r="A43" s="1"/>
      <c r="B43" s="254"/>
      <c r="C43" s="73" t="s">
        <v>39</v>
      </c>
      <c r="D43" s="143"/>
      <c r="E43" s="139"/>
      <c r="F43" s="139">
        <f>0</f>
        <v>0</v>
      </c>
      <c r="G43" s="139">
        <f>101.59228</f>
        <v>101.59228</v>
      </c>
      <c r="H43" s="139">
        <f t="shared" ref="H43" si="4">E43-G43</f>
        <v>-101.59228</v>
      </c>
      <c r="I43" s="139">
        <f>83.92267</f>
        <v>83.922669999999997</v>
      </c>
      <c r="J43" s="244"/>
    </row>
    <row r="44" spans="1:13" ht="16.5" customHeight="1" x14ac:dyDescent="0.2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1927.2736800000002</v>
      </c>
      <c r="G44" s="76">
        <f t="shared" si="5"/>
        <v>173105.61890999999</v>
      </c>
      <c r="H44" s="76">
        <f t="shared" si="5"/>
        <v>45935.381090000003</v>
      </c>
      <c r="I44" s="76">
        <f t="shared" si="5"/>
        <v>240436.52065000002</v>
      </c>
      <c r="J44" s="244"/>
    </row>
    <row r="45" spans="1:13" ht="14.1" customHeight="1" x14ac:dyDescent="0.25">
      <c r="A45" s="101"/>
      <c r="B45" s="24"/>
      <c r="C45" s="77" t="s">
        <v>128</v>
      </c>
      <c r="D45" s="258"/>
      <c r="E45" s="258"/>
      <c r="F45" s="80"/>
      <c r="G45" s="80"/>
      <c r="H45" s="228"/>
      <c r="I45" s="228"/>
      <c r="J45" s="81"/>
    </row>
    <row r="46" spans="1:13" ht="14.1" customHeight="1" x14ac:dyDescent="0.2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" customHeight="1" x14ac:dyDescent="0.2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129</v>
      </c>
      <c r="D48" s="258"/>
      <c r="E48" s="258"/>
      <c r="F48" s="258"/>
      <c r="G48" s="258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" customHeight="1" x14ac:dyDescent="0.2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2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146</v>
      </c>
      <c r="F54" s="68" t="s">
        <v>147</v>
      </c>
      <c r="G54" s="68" t="s">
        <v>148</v>
      </c>
      <c r="H54" s="68" t="s">
        <v>149</v>
      </c>
      <c r="I54" s="258"/>
      <c r="J54" s="244"/>
    </row>
    <row r="55" spans="1:10" ht="14.1" customHeight="1" x14ac:dyDescent="0.25">
      <c r="A55" s="101"/>
      <c r="B55" s="24"/>
      <c r="C55" s="16" t="s">
        <v>45</v>
      </c>
      <c r="D55" s="304">
        <v>7872</v>
      </c>
      <c r="E55" s="11">
        <f>E59+E58+E57+E56</f>
        <v>938</v>
      </c>
      <c r="F55" s="11">
        <f>F59+F58+F57+F56</f>
        <v>3123</v>
      </c>
      <c r="G55" s="304">
        <f>D55-F55</f>
        <v>4749</v>
      </c>
      <c r="H55" s="11">
        <f>H59+H58+H57+H56</f>
        <v>4440</v>
      </c>
      <c r="I55" s="258"/>
      <c r="J55" s="244"/>
    </row>
    <row r="56" spans="1:10" ht="14.1" customHeight="1" x14ac:dyDescent="0.25">
      <c r="A56" s="101"/>
      <c r="B56" s="24"/>
      <c r="C56" s="62" t="s">
        <v>24</v>
      </c>
      <c r="D56" s="305"/>
      <c r="E56" s="127">
        <v>164</v>
      </c>
      <c r="F56" s="127">
        <v>502</v>
      </c>
      <c r="G56" s="305"/>
      <c r="H56" s="127">
        <v>525</v>
      </c>
      <c r="I56" s="258"/>
      <c r="J56" s="244"/>
    </row>
    <row r="57" spans="1:10" ht="14.1" customHeight="1" x14ac:dyDescent="0.25">
      <c r="A57" s="101"/>
      <c r="B57" s="24"/>
      <c r="C57" s="62" t="s">
        <v>25</v>
      </c>
      <c r="D57" s="305"/>
      <c r="E57" s="127">
        <v>319</v>
      </c>
      <c r="F57" s="127">
        <v>778</v>
      </c>
      <c r="G57" s="305"/>
      <c r="H57" s="127">
        <v>1011</v>
      </c>
      <c r="I57" s="258"/>
      <c r="J57" s="244"/>
    </row>
    <row r="58" spans="1:10" ht="14.1" customHeight="1" x14ac:dyDescent="0.25">
      <c r="A58" s="101"/>
      <c r="B58" s="24"/>
      <c r="C58" s="62" t="s">
        <v>26</v>
      </c>
      <c r="D58" s="305"/>
      <c r="E58" s="127">
        <v>289</v>
      </c>
      <c r="F58" s="127">
        <v>1053</v>
      </c>
      <c r="G58" s="305"/>
      <c r="H58" s="127">
        <v>1993</v>
      </c>
      <c r="I58" s="258"/>
      <c r="J58" s="244"/>
    </row>
    <row r="59" spans="1:10" ht="14.1" customHeight="1" x14ac:dyDescent="0.25">
      <c r="A59" s="101"/>
      <c r="B59" s="24"/>
      <c r="C59" s="87" t="s">
        <v>27</v>
      </c>
      <c r="D59" s="306"/>
      <c r="E59" s="192">
        <v>166</v>
      </c>
      <c r="F59" s="192">
        <v>790</v>
      </c>
      <c r="G59" s="306"/>
      <c r="H59" s="192">
        <v>911</v>
      </c>
      <c r="I59" s="258"/>
      <c r="J59" s="244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37</v>
      </c>
      <c r="F60" s="95">
        <v>342</v>
      </c>
      <c r="G60" s="95">
        <f>D60-F60</f>
        <v>618</v>
      </c>
      <c r="H60" s="95">
        <v>404</v>
      </c>
      <c r="I60" s="258"/>
      <c r="J60" s="244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46</v>
      </c>
      <c r="F61" s="139">
        <v>2789</v>
      </c>
      <c r="G61" s="139">
        <f>D61-F61</f>
        <v>211</v>
      </c>
      <c r="H61" s="139">
        <v>4344</v>
      </c>
      <c r="I61" s="258"/>
      <c r="J61" s="244"/>
    </row>
    <row r="62" spans="1:10" ht="14.1" customHeight="1" x14ac:dyDescent="0.25">
      <c r="A62" s="101"/>
      <c r="B62" s="24"/>
      <c r="C62" s="77" t="s">
        <v>130</v>
      </c>
      <c r="D62" s="258"/>
      <c r="E62" s="258"/>
      <c r="F62" s="258"/>
      <c r="G62" s="258"/>
      <c r="H62" s="178"/>
      <c r="I62" s="178"/>
      <c r="J62" s="120"/>
    </row>
    <row r="63" spans="1:10" ht="14.1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2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115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9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9" t="s">
        <v>1</v>
      </c>
      <c r="D81" s="300"/>
      <c r="E81" s="299" t="s">
        <v>2</v>
      </c>
      <c r="F81" s="307"/>
      <c r="G81" s="299" t="s">
        <v>3</v>
      </c>
      <c r="H81" s="300"/>
      <c r="I81" s="178"/>
      <c r="J81" s="244"/>
    </row>
    <row r="82" spans="1:10" ht="15" customHeight="1" x14ac:dyDescent="0.2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2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" customHeight="1" x14ac:dyDescent="0.2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2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25">
      <c r="A86" s="1"/>
      <c r="B86" s="254"/>
      <c r="C86" s="101" t="s">
        <v>140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2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" customHeight="1" x14ac:dyDescent="0.2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2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2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" customHeight="1" x14ac:dyDescent="0.2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30.267669999999999</v>
      </c>
      <c r="G92" s="11">
        <f t="shared" si="6"/>
        <v>23366.200950000002</v>
      </c>
      <c r="H92" s="11">
        <f t="shared" si="6"/>
        <v>2594.7990499999996</v>
      </c>
      <c r="I92" s="11">
        <f t="shared" si="6"/>
        <v>39276.200040000003</v>
      </c>
      <c r="J92" s="244"/>
    </row>
    <row r="93" spans="1:10" ht="15" customHeight="1" x14ac:dyDescent="0.25">
      <c r="A93" s="1"/>
      <c r="B93" s="254"/>
      <c r="C93" s="44" t="s">
        <v>20</v>
      </c>
      <c r="D93" s="45">
        <v>25957</v>
      </c>
      <c r="E93" s="45">
        <v>25136</v>
      </c>
      <c r="F93" s="23">
        <f>19.93847</f>
        <v>19.938469999999999</v>
      </c>
      <c r="G93" s="23">
        <f>22576.6545</f>
        <v>22576.654500000001</v>
      </c>
      <c r="H93" s="23">
        <f>E93-G93</f>
        <v>2559.3454999999994</v>
      </c>
      <c r="I93" s="23">
        <f>38773.04725</f>
        <v>38773.047250000003</v>
      </c>
      <c r="J93" s="244"/>
    </row>
    <row r="94" spans="1:10" ht="14.1" customHeight="1" x14ac:dyDescent="0.25">
      <c r="A94" s="1"/>
      <c r="B94" s="254"/>
      <c r="C94" s="64" t="s">
        <v>21</v>
      </c>
      <c r="D94" s="49">
        <v>750</v>
      </c>
      <c r="E94" s="49">
        <v>825</v>
      </c>
      <c r="F94" s="50">
        <f>10.3292</f>
        <v>10.3292</v>
      </c>
      <c r="G94" s="50">
        <f>789.54645</f>
        <v>789.54645000000005</v>
      </c>
      <c r="H94" s="50">
        <f>E94-G94</f>
        <v>35.45354999999995</v>
      </c>
      <c r="I94" s="50">
        <f>503.15279</f>
        <v>503.15278999999998</v>
      </c>
      <c r="J94" s="244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623.16218000000003</v>
      </c>
      <c r="G95" s="11">
        <f t="shared" si="7"/>
        <v>38244.174300000006</v>
      </c>
      <c r="H95" s="11">
        <f t="shared" si="7"/>
        <v>10749.825699999998</v>
      </c>
      <c r="I95" s="11">
        <f t="shared" si="7"/>
        <v>27079.398109999998</v>
      </c>
      <c r="J95" s="244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439.35882000000004</v>
      </c>
      <c r="G96" s="132">
        <f t="shared" si="8"/>
        <v>30830.138060000001</v>
      </c>
      <c r="H96" s="132">
        <f t="shared" si="8"/>
        <v>6663.8619399999989</v>
      </c>
      <c r="I96" s="132">
        <f t="shared" si="8"/>
        <v>19579.880229999999</v>
      </c>
      <c r="J96" s="244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89.39533</f>
        <v>89.395330000000001</v>
      </c>
      <c r="G97" s="127">
        <f>4612.83246</f>
        <v>4612.8324599999996</v>
      </c>
      <c r="H97" s="127">
        <f t="shared" ref="H97:H104" si="9">E97-G97</f>
        <v>5402.1675400000004</v>
      </c>
      <c r="I97" s="127">
        <f>2816.36479</f>
        <v>2816.3647900000001</v>
      </c>
      <c r="J97" s="244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185.57786</f>
        <v>185.57785999999999</v>
      </c>
      <c r="G98" s="127">
        <f>10150.58148</f>
        <v>10150.581480000001</v>
      </c>
      <c r="H98" s="127">
        <f t="shared" si="9"/>
        <v>463.41851999999926</v>
      </c>
      <c r="I98" s="127">
        <f>5870.15459</f>
        <v>5870.1545900000001</v>
      </c>
      <c r="J98" s="244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94.81031</f>
        <v>94.810310000000001</v>
      </c>
      <c r="G99" s="127">
        <f>9512.87043</f>
        <v>9512.8704300000009</v>
      </c>
      <c r="H99" s="127">
        <f t="shared" si="9"/>
        <v>599.12956999999915</v>
      </c>
      <c r="I99" s="127">
        <f>6009.79508</f>
        <v>6009.7950799999999</v>
      </c>
      <c r="J99" s="244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69.57532</f>
        <v>69.575320000000005</v>
      </c>
      <c r="G100" s="127">
        <f>6553.85369</f>
        <v>6553.8536899999999</v>
      </c>
      <c r="H100" s="127">
        <f t="shared" si="9"/>
        <v>199.14631000000008</v>
      </c>
      <c r="I100" s="127">
        <f>4883.56577</f>
        <v>4883.5657700000002</v>
      </c>
      <c r="J100" s="244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152.64122</f>
        <v>152.64122</v>
      </c>
      <c r="G101" s="132">
        <f>5365.60576</f>
        <v>5365.6057600000004</v>
      </c>
      <c r="H101" s="132">
        <f t="shared" si="9"/>
        <v>2230.3942399999996</v>
      </c>
      <c r="I101" s="132">
        <f>6088.27996</f>
        <v>6088.2799599999998</v>
      </c>
      <c r="J101" s="244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31.16214</f>
        <v>31.162140000000001</v>
      </c>
      <c r="G102" s="75">
        <f>2048.43048</f>
        <v>2048.43048</v>
      </c>
      <c r="H102" s="75">
        <f t="shared" si="9"/>
        <v>1855.56952</v>
      </c>
      <c r="I102" s="75">
        <f>1411.23792</f>
        <v>1411.23792</v>
      </c>
      <c r="J102" s="244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4"/>
    </row>
    <row r="104" spans="1:10" ht="18" customHeight="1" x14ac:dyDescent="0.25">
      <c r="A104" s="1"/>
      <c r="B104" s="254"/>
      <c r="C104" s="73" t="s">
        <v>54</v>
      </c>
      <c r="D104" s="143">
        <v>300</v>
      </c>
      <c r="E104" s="143">
        <v>300</v>
      </c>
      <c r="F104" s="139">
        <f>0.06684</f>
        <v>6.6839999999999997E-2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25">
      <c r="A105" s="1"/>
      <c r="B105" s="254"/>
      <c r="C105" s="93" t="s">
        <v>38</v>
      </c>
      <c r="D105" s="143">
        <v>50</v>
      </c>
      <c r="E105" s="143">
        <v>50</v>
      </c>
      <c r="F105" s="98">
        <f>0.13</f>
        <v>0.13</v>
      </c>
      <c r="G105" s="98">
        <f>21.92166</f>
        <v>21.921659999999999</v>
      </c>
      <c r="H105" s="139">
        <f>E105-G105</f>
        <v>28.078340000000001</v>
      </c>
      <c r="I105" s="98">
        <f>7.3176</f>
        <v>7.3175999999999997</v>
      </c>
      <c r="J105" s="244"/>
    </row>
    <row r="106" spans="1:10" ht="18" customHeight="1" x14ac:dyDescent="0.25">
      <c r="A106" s="1"/>
      <c r="B106" s="254"/>
      <c r="C106" s="93" t="s">
        <v>55</v>
      </c>
      <c r="D106" s="143"/>
      <c r="E106" s="139"/>
      <c r="F106" s="139">
        <f>0</f>
        <v>0</v>
      </c>
      <c r="G106" s="139">
        <f>27.36596</f>
        <v>27.365960000000001</v>
      </c>
      <c r="H106" s="139">
        <f t="shared" ref="H106" si="10">E106-G106</f>
        <v>-27.365960000000001</v>
      </c>
      <c r="I106" s="139">
        <f>87.95876</f>
        <v>87.958759999999998</v>
      </c>
      <c r="J106" s="244"/>
    </row>
    <row r="107" spans="1:10" ht="16.5" customHeight="1" x14ac:dyDescent="0.2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653.62668999999994</v>
      </c>
      <c r="G107" s="76">
        <f t="shared" si="12"/>
        <v>61995.765630000016</v>
      </c>
      <c r="H107" s="76">
        <f t="shared" si="12"/>
        <v>13628.234369999998</v>
      </c>
      <c r="I107" s="76">
        <f t="shared" si="12"/>
        <v>66762.123179999995</v>
      </c>
      <c r="J107" s="244"/>
    </row>
    <row r="108" spans="1:10" ht="13.5" customHeight="1" x14ac:dyDescent="0.25">
      <c r="A108" s="1"/>
      <c r="B108" s="254"/>
      <c r="C108" s="77" t="s">
        <v>131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2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161" t="s">
        <v>132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2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115</v>
      </c>
      <c r="D113" s="228"/>
      <c r="E113" s="228"/>
      <c r="F113" s="228"/>
      <c r="G113" s="228"/>
      <c r="H113" s="228"/>
      <c r="I113" s="101"/>
      <c r="J113" s="101" t="s">
        <v>115</v>
      </c>
    </row>
    <row r="114" spans="1:10" ht="14.25" customHeight="1" x14ac:dyDescent="0.25">
      <c r="A114" s="1"/>
      <c r="B114" s="101"/>
      <c r="C114" s="101" t="s">
        <v>115</v>
      </c>
      <c r="D114" s="101" t="s">
        <v>115</v>
      </c>
      <c r="E114" s="101"/>
      <c r="F114" s="101"/>
      <c r="G114" s="101"/>
      <c r="H114" s="101"/>
      <c r="I114" s="101"/>
      <c r="J114" s="101" t="s">
        <v>115</v>
      </c>
    </row>
    <row r="115" spans="1:10" ht="17.100000000000001" customHeight="1" x14ac:dyDescent="0.2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2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" customHeight="1" x14ac:dyDescent="0.2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" customHeight="1" x14ac:dyDescent="0.2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" customHeight="1" x14ac:dyDescent="0.2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2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25">
      <c r="A124" s="101"/>
      <c r="B124" s="24"/>
      <c r="C124" s="101" t="s">
        <v>116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2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" customHeight="1" x14ac:dyDescent="0.2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896.9606</v>
      </c>
      <c r="G128" s="11">
        <f t="shared" si="13"/>
        <v>42564.917820000002</v>
      </c>
      <c r="H128" s="11">
        <f t="shared" si="13"/>
        <v>29742.082179999994</v>
      </c>
      <c r="I128" s="11">
        <f t="shared" si="13"/>
        <v>43813.526300000005</v>
      </c>
      <c r="J128" s="244"/>
    </row>
    <row r="129" spans="1:10" ht="14.1" customHeight="1" x14ac:dyDescent="0.25">
      <c r="A129" s="1"/>
      <c r="B129" s="254"/>
      <c r="C129" s="44" t="s">
        <v>20</v>
      </c>
      <c r="D129" s="45">
        <v>60688</v>
      </c>
      <c r="E129" s="45">
        <v>57562</v>
      </c>
      <c r="F129" s="23">
        <f>594.41075</f>
        <v>594.41075000000001</v>
      </c>
      <c r="G129" s="23">
        <f>37731.29581</f>
        <v>37731.295810000003</v>
      </c>
      <c r="H129" s="23">
        <f>E129-G129</f>
        <v>19830.704189999997</v>
      </c>
      <c r="I129" s="23">
        <f>38719.5575</f>
        <v>38719.557500000003</v>
      </c>
      <c r="J129" s="244"/>
    </row>
    <row r="130" spans="1:10" ht="15" customHeight="1" x14ac:dyDescent="0.25">
      <c r="A130" s="1"/>
      <c r="B130" s="254"/>
      <c r="C130" s="44" t="s">
        <v>21</v>
      </c>
      <c r="D130" s="45">
        <v>14672</v>
      </c>
      <c r="E130" s="45">
        <v>14245</v>
      </c>
      <c r="F130" s="23">
        <f>302.54985</f>
        <v>302.54984999999999</v>
      </c>
      <c r="G130" s="23">
        <f>4768.17186</f>
        <v>4768.1718600000004</v>
      </c>
      <c r="H130" s="23">
        <f>E130-G130</f>
        <v>9476.8281399999996</v>
      </c>
      <c r="I130" s="23">
        <f>4978.66255</f>
        <v>4978.66255</v>
      </c>
      <c r="J130" s="244"/>
    </row>
    <row r="131" spans="1:10" ht="13.5" customHeight="1" x14ac:dyDescent="0.2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4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668.626</f>
        <v>668.62599999999998</v>
      </c>
      <c r="G132" s="95">
        <f>14415.438+3986.9109</f>
        <v>18402.348900000001</v>
      </c>
      <c r="H132" s="95">
        <f>E132-G132</f>
        <v>34093.651100000003</v>
      </c>
      <c r="I132" s="95">
        <f>35854.97088</f>
        <v>35854.970880000001</v>
      </c>
      <c r="J132" s="116"/>
    </row>
    <row r="133" spans="1:10" ht="15.75" customHeight="1" x14ac:dyDescent="0.2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802.31749000000002</v>
      </c>
      <c r="G133" s="94">
        <f t="shared" ref="G133" si="14">G134+G139+G142</f>
        <v>53149.303920000006</v>
      </c>
      <c r="H133" s="94">
        <f>H134+H139+H142</f>
        <v>27015.696080000005</v>
      </c>
      <c r="I133" s="94">
        <f>I134+I139+I142</f>
        <v>59542.741019999994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627.37417000000005</v>
      </c>
      <c r="G134" s="125">
        <f>G135+G136+G138+G137</f>
        <v>39309.007880000005</v>
      </c>
      <c r="H134" s="125">
        <f>H135+H136+H137+H138</f>
        <v>19769.992120000003</v>
      </c>
      <c r="I134" s="125">
        <f>I135+I136+I137+I138</f>
        <v>47212.252939999991</v>
      </c>
      <c r="J134" s="280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221.36059</f>
        <v>221.36059</v>
      </c>
      <c r="G135" s="127">
        <v>8146.59753</v>
      </c>
      <c r="H135" s="127">
        <f>E135-G135</f>
        <v>9627.4024700000009</v>
      </c>
      <c r="I135" s="127">
        <f>7206.32288</f>
        <v>7206.3228799999997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144.42383</f>
        <v>144.42383000000001</v>
      </c>
      <c r="G136" s="127">
        <v>11439.107885000001</v>
      </c>
      <c r="H136" s="127">
        <f>E136-G136</f>
        <v>3499.8921149999987</v>
      </c>
      <c r="I136" s="127">
        <f>12183.04768</f>
        <v>12183.04768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100.80715</f>
        <v>100.80714999999999</v>
      </c>
      <c r="G137" s="127">
        <v>10087.121224999999</v>
      </c>
      <c r="H137" s="127">
        <f>E137-G137</f>
        <v>2963.878775000001</v>
      </c>
      <c r="I137" s="127">
        <f>15215.4378</f>
        <v>15215.4378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160.7826</f>
        <v>160.7826</v>
      </c>
      <c r="G138" s="127">
        <v>9636.1812399999999</v>
      </c>
      <c r="H138" s="127">
        <f>E138-G138</f>
        <v>3678.8187600000001</v>
      </c>
      <c r="I138" s="127">
        <f>12607.44458</f>
        <v>12607.444579999999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15.130199999999999</v>
      </c>
      <c r="G139" s="132">
        <f>SUM(G140:G141)</f>
        <v>8884.8416500000003</v>
      </c>
      <c r="H139" s="132">
        <f>H140+H141</f>
        <v>45.158350000000382</v>
      </c>
      <c r="I139" s="132">
        <f>SUM(I140:I141)</f>
        <v>6885.4658799999997</v>
      </c>
      <c r="J139" s="133"/>
    </row>
    <row r="140" spans="1:10" ht="14.1" customHeight="1" x14ac:dyDescent="0.25">
      <c r="A140" s="1"/>
      <c r="B140" s="254"/>
      <c r="C140" s="62" t="s">
        <v>66</v>
      </c>
      <c r="D140" s="63">
        <v>8070</v>
      </c>
      <c r="E140" s="63">
        <v>8430</v>
      </c>
      <c r="F140" s="127">
        <f>5.52015</f>
        <v>5.5201500000000001</v>
      </c>
      <c r="G140" s="127">
        <f>8461.14568</f>
        <v>8461.1456799999996</v>
      </c>
      <c r="H140" s="127">
        <f t="shared" ref="H140:H148" si="15">E140-G140</f>
        <v>-31.145679999999629</v>
      </c>
      <c r="I140" s="127">
        <f>6675.87317</f>
        <v>6675.8731699999998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9.61005</f>
        <v>9.6100499999999993</v>
      </c>
      <c r="G141" s="127">
        <f>423.69597</f>
        <v>423.69596999999999</v>
      </c>
      <c r="H141" s="127">
        <f t="shared" si="15"/>
        <v>76.304030000000012</v>
      </c>
      <c r="I141" s="127">
        <f>209.59271</f>
        <v>209.59271000000001</v>
      </c>
      <c r="J141" s="134"/>
    </row>
    <row r="142" spans="1:10" ht="15.75" customHeight="1" x14ac:dyDescent="0.25">
      <c r="A142" s="1"/>
      <c r="B142" s="254"/>
      <c r="C142" s="38" t="s">
        <v>11</v>
      </c>
      <c r="D142" s="61">
        <v>10907</v>
      </c>
      <c r="E142" s="61">
        <v>12156</v>
      </c>
      <c r="F142" s="75">
        <f>159.81312</f>
        <v>159.81312</v>
      </c>
      <c r="G142" s="75">
        <f>4955.45439</f>
        <v>4955.4543899999999</v>
      </c>
      <c r="H142" s="75">
        <f t="shared" si="15"/>
        <v>7200.5456100000001</v>
      </c>
      <c r="I142" s="75">
        <f>5445.0222</f>
        <v>5445.0222000000003</v>
      </c>
      <c r="J142" s="120"/>
    </row>
    <row r="143" spans="1:10" ht="15.75" customHeight="1" x14ac:dyDescent="0.25">
      <c r="A143" s="1"/>
      <c r="B143" s="254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25">
      <c r="A145" s="1"/>
      <c r="B145" s="254"/>
      <c r="C145" s="140" t="s">
        <v>69</v>
      </c>
      <c r="D145" s="143">
        <v>2000</v>
      </c>
      <c r="E145" s="143">
        <v>2000</v>
      </c>
      <c r="F145" s="139">
        <f>5.89871</f>
        <v>5.8987100000000003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2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4"/>
      <c r="C147" s="142" t="s">
        <v>70</v>
      </c>
      <c r="D147" s="143">
        <v>276</v>
      </c>
      <c r="E147" s="143">
        <v>276</v>
      </c>
      <c r="F147" s="98">
        <f>0.01345</f>
        <v>1.345E-2</v>
      </c>
      <c r="G147" s="98">
        <f>45.40243</f>
        <v>45.402430000000003</v>
      </c>
      <c r="H147" s="139">
        <f t="shared" si="15"/>
        <v>230.59756999999999</v>
      </c>
      <c r="I147" s="98">
        <f>27.57543</f>
        <v>27.575430000000001</v>
      </c>
      <c r="J147" s="120"/>
    </row>
    <row r="148" spans="1:10" ht="15" customHeight="1" x14ac:dyDescent="0.25">
      <c r="A148" s="1"/>
      <c r="B148" s="254"/>
      <c r="C148" s="142" t="s">
        <v>39</v>
      </c>
      <c r="D148" s="145"/>
      <c r="E148" s="143"/>
      <c r="F148" s="139">
        <f>0</f>
        <v>0</v>
      </c>
      <c r="G148" s="139">
        <f>114.28194</f>
        <v>114.28194000000001</v>
      </c>
      <c r="H148" s="139">
        <f t="shared" si="15"/>
        <v>-114.28194000000001</v>
      </c>
      <c r="I148" s="139">
        <f>100.27393</f>
        <v>100.27392999999999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2373.8162499999999</v>
      </c>
      <c r="G150" s="76">
        <f>G128+G132+G133+G143+G144+G145+G146+G147+G148</f>
        <v>116548.00356</v>
      </c>
      <c r="H150" s="76">
        <f>H128+H132+H133+H143+H144+H145+H146+H147+H148</f>
        <v>91091.996440000017</v>
      </c>
      <c r="I150" s="76">
        <f>I128+I132+I133+I143+I144+I145+I146+I147+I148</f>
        <v>141632.02956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133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2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2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25">
      <c r="A156" s="156"/>
      <c r="B156" s="52"/>
      <c r="C156" s="77" t="s">
        <v>134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115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115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115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" customHeight="1" x14ac:dyDescent="0.2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" customHeight="1" x14ac:dyDescent="0.2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" customHeight="1" x14ac:dyDescent="0.2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" customHeight="1" x14ac:dyDescent="0.2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" customHeight="1" x14ac:dyDescent="0.2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2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2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" customHeight="1" x14ac:dyDescent="0.25">
      <c r="A175" s="1"/>
      <c r="B175" s="254"/>
      <c r="C175" s="141" t="s">
        <v>75</v>
      </c>
      <c r="D175" s="94">
        <v>4223</v>
      </c>
      <c r="E175" s="276">
        <f>58.9264</f>
        <v>58.926400000000001</v>
      </c>
      <c r="F175" s="276">
        <f>846.81468</f>
        <v>846.81467999999995</v>
      </c>
      <c r="G175" s="43">
        <f>D175-F175-F176</f>
        <v>1999.9134100000001</v>
      </c>
      <c r="H175" s="276">
        <f>1387.12405</f>
        <v>1387.1240499999999</v>
      </c>
      <c r="I175" s="1"/>
      <c r="J175" s="120"/>
    </row>
    <row r="176" spans="1:10" ht="14.1" customHeight="1" x14ac:dyDescent="0.25">
      <c r="A176" s="1"/>
      <c r="B176" s="254"/>
      <c r="C176" s="137" t="s">
        <v>53</v>
      </c>
      <c r="D176" s="181"/>
      <c r="E176" s="152">
        <f>0</f>
        <v>0</v>
      </c>
      <c r="F176" s="152">
        <f>1376.27191</f>
        <v>1376.2719099999999</v>
      </c>
      <c r="G176" s="217"/>
      <c r="H176" s="152">
        <f>1646.30826</f>
        <v>1646.30826</v>
      </c>
      <c r="I176" s="1"/>
      <c r="J176" s="120"/>
    </row>
    <row r="177" spans="1:10" ht="15.6" customHeight="1" x14ac:dyDescent="0.2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82.49204</f>
        <v>82.492040000000003</v>
      </c>
      <c r="G177" s="172">
        <f>D177-F177</f>
        <v>117.50796</v>
      </c>
      <c r="H177" s="172">
        <f>71.57216</f>
        <v>71.572159999999997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23.021590000000003</v>
      </c>
      <c r="F178" s="181">
        <f>F179+F180+F181</f>
        <v>5891.15589</v>
      </c>
      <c r="G178" s="181">
        <f>D178-F178</f>
        <v>442.84411</v>
      </c>
      <c r="H178" s="181">
        <f>H179+H180+H181</f>
        <v>7859.4199100000005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4.4203</f>
        <v>4.4203000000000001</v>
      </c>
      <c r="F179" s="127">
        <f>3087.5503</f>
        <v>3087.5502999999999</v>
      </c>
      <c r="G179" s="127"/>
      <c r="H179" s="127">
        <f>4137.55529</f>
        <v>4137.5552900000002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14.67416</f>
        <v>14.674160000000001</v>
      </c>
      <c r="F180" s="127">
        <f>1770.65784</f>
        <v>1770.6578400000001</v>
      </c>
      <c r="G180" s="127"/>
      <c r="H180" s="127">
        <f>2361.8493</f>
        <v>2361.8492999999999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3.92713</f>
        <v>3.92713</v>
      </c>
      <c r="F181" s="192">
        <f>1032.94775</f>
        <v>1032.94775</v>
      </c>
      <c r="G181" s="192"/>
      <c r="H181" s="192">
        <f>1360.01532</f>
        <v>1360.01532</v>
      </c>
      <c r="I181" s="186"/>
      <c r="J181" s="187"/>
    </row>
    <row r="182" spans="1:10" ht="14.1" customHeight="1" x14ac:dyDescent="0.2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2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81.947990000000004</v>
      </c>
      <c r="F184" s="194">
        <f>F175+F176+F177+F178+F182+F183</f>
        <v>8196.73452</v>
      </c>
      <c r="G184" s="194">
        <f>D184-F184</f>
        <v>2626.26548</v>
      </c>
      <c r="H184" s="194">
        <f>H175+H176+H177+H178+H182+H183</f>
        <v>10964.42438</v>
      </c>
      <c r="I184" s="163"/>
      <c r="J184" s="160"/>
    </row>
    <row r="185" spans="1:10" ht="42" customHeight="1" x14ac:dyDescent="0.25">
      <c r="A185" s="1"/>
      <c r="B185" s="198"/>
      <c r="C185" s="227" t="s">
        <v>141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25">
      <c r="A186" s="156" t="s">
        <v>115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115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115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2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4"/>
      <c r="C197" s="101" t="s">
        <v>121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4"/>
      <c r="C198" s="101" t="s">
        <v>122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4"/>
      <c r="C199" s="101" t="s">
        <v>125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2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25">
      <c r="A204" s="1"/>
      <c r="B204" s="254"/>
      <c r="C204" s="90" t="s">
        <v>4</v>
      </c>
      <c r="D204" s="124">
        <v>46282</v>
      </c>
      <c r="E204" s="124">
        <f>590.62145</f>
        <v>590.62144999999998</v>
      </c>
      <c r="F204" s="124">
        <f>38699.5666</f>
        <v>38699.566599999998</v>
      </c>
      <c r="G204" s="124">
        <f>D204-F204</f>
        <v>7582.4334000000017</v>
      </c>
      <c r="H204" s="124">
        <f>39131.26549</f>
        <v>39131.265489999998</v>
      </c>
      <c r="I204" s="248"/>
      <c r="J204" s="120"/>
    </row>
    <row r="205" spans="1:10" ht="15" customHeight="1" x14ac:dyDescent="0.25">
      <c r="A205" s="1"/>
      <c r="B205" s="254"/>
      <c r="C205" s="90" t="s">
        <v>67</v>
      </c>
      <c r="D205" s="124">
        <v>100</v>
      </c>
      <c r="E205" s="124">
        <f>2.04518</f>
        <v>2.0451800000000002</v>
      </c>
      <c r="F205" s="124">
        <f>29.6943</f>
        <v>29.694299999999998</v>
      </c>
      <c r="G205" s="124">
        <f>D205-F205</f>
        <v>70.305700000000002</v>
      </c>
      <c r="H205" s="124">
        <f>57.03155</f>
        <v>57.031550000000003</v>
      </c>
      <c r="I205" s="248"/>
      <c r="J205" s="120"/>
    </row>
    <row r="206" spans="1:10" ht="15.75" customHeight="1" x14ac:dyDescent="0.2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25">
      <c r="A207" s="1"/>
      <c r="B207" s="254"/>
      <c r="C207" s="179" t="s">
        <v>87</v>
      </c>
      <c r="D207" s="190">
        <f>SUM(D204:D206)</f>
        <v>46418</v>
      </c>
      <c r="E207" s="190">
        <f>SUM(E204:E206)</f>
        <v>592.66662999999994</v>
      </c>
      <c r="F207" s="190">
        <f>SUM(F204:F206)</f>
        <v>38729.260900000001</v>
      </c>
      <c r="G207" s="190">
        <f>D207-F207</f>
        <v>7688.7390999999989</v>
      </c>
      <c r="H207" s="190">
        <f>SUM(H204:H206)</f>
        <v>39188.297039999998</v>
      </c>
      <c r="I207" s="248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115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35">
      <c r="A243" s="150"/>
      <c r="B243" s="1"/>
      <c r="C243" s="215" t="s">
        <v>117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115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2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25">
      <c r="A249" s="1"/>
      <c r="B249" s="254"/>
      <c r="C249" s="90" t="s">
        <v>123</v>
      </c>
      <c r="D249" s="124">
        <v>3987</v>
      </c>
      <c r="E249" s="75">
        <f>E250+E251</f>
        <v>114.78344000000001</v>
      </c>
      <c r="F249" s="75">
        <f>F250+F251</f>
        <v>3722.12608</v>
      </c>
      <c r="G249" s="75">
        <f>D249-F249</f>
        <v>264.87392</v>
      </c>
      <c r="H249" s="75">
        <f>H250+H251</f>
        <v>3449.6443199999999</v>
      </c>
      <c r="I249" s="248"/>
      <c r="J249" s="120"/>
    </row>
    <row r="250" spans="1:10" ht="15" customHeight="1" x14ac:dyDescent="0.25">
      <c r="A250" s="1"/>
      <c r="B250" s="254"/>
      <c r="C250" s="177" t="s">
        <v>8</v>
      </c>
      <c r="D250" s="124"/>
      <c r="E250" s="75">
        <f>105.61396</f>
        <v>105.61396000000001</v>
      </c>
      <c r="F250" s="75">
        <f>3204.74387</f>
        <v>3204.7438699999998</v>
      </c>
      <c r="G250" s="75"/>
      <c r="H250" s="75">
        <f>2938.60837</f>
        <v>2938.6083699999999</v>
      </c>
      <c r="I250" s="248"/>
      <c r="J250" s="120"/>
    </row>
    <row r="251" spans="1:10" ht="15" customHeight="1" x14ac:dyDescent="0.25">
      <c r="A251" s="1"/>
      <c r="B251" s="254"/>
      <c r="C251" s="177" t="s">
        <v>67</v>
      </c>
      <c r="D251" s="124"/>
      <c r="E251" s="124">
        <f>9.16948</f>
        <v>9.1694800000000001</v>
      </c>
      <c r="F251" s="124">
        <f>517.38221</f>
        <v>517.38220999999999</v>
      </c>
      <c r="G251" s="168"/>
      <c r="H251" s="124">
        <f>511.03595</f>
        <v>511.03595000000001</v>
      </c>
      <c r="I251" s="248"/>
      <c r="J251" s="120"/>
    </row>
    <row r="252" spans="1:10" ht="15" customHeight="1" x14ac:dyDescent="0.25">
      <c r="A252" s="1"/>
      <c r="B252" s="254"/>
      <c r="C252" s="90" t="s">
        <v>124</v>
      </c>
      <c r="D252" s="124">
        <v>4613</v>
      </c>
      <c r="E252" s="75">
        <f>44.47946</f>
        <v>44.479460000000003</v>
      </c>
      <c r="F252" s="75">
        <f>4990.97667</f>
        <v>4990.97667</v>
      </c>
      <c r="G252" s="75">
        <f>D252-F252</f>
        <v>-377.97667000000001</v>
      </c>
      <c r="H252" s="75">
        <f>4777.59285</f>
        <v>4777.59285</v>
      </c>
      <c r="I252" s="248"/>
      <c r="J252" s="120"/>
    </row>
    <row r="253" spans="1:10" ht="16.5" customHeight="1" x14ac:dyDescent="0.25">
      <c r="A253" s="1"/>
      <c r="B253" s="254"/>
      <c r="C253" s="179" t="s">
        <v>87</v>
      </c>
      <c r="D253" s="190">
        <f>D252+D249</f>
        <v>8600</v>
      </c>
      <c r="E253" s="190">
        <f>SUM(E249,E252)</f>
        <v>159.2629</v>
      </c>
      <c r="F253" s="190">
        <f>SUM(F249,F252)</f>
        <v>8713.10275</v>
      </c>
      <c r="G253" s="190">
        <f>D253-F253</f>
        <v>-113.10275000000001</v>
      </c>
      <c r="H253" s="190">
        <f>SUM(H249,H252)</f>
        <v>8227.2371700000003</v>
      </c>
      <c r="I253" s="248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115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35">
      <c r="A289" s="150"/>
      <c r="B289" s="1"/>
      <c r="C289" s="215" t="s">
        <v>118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115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2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25">
      <c r="A295" s="1"/>
      <c r="B295" s="254"/>
      <c r="C295" s="90" t="s">
        <v>123</v>
      </c>
      <c r="D295" s="124">
        <v>5090</v>
      </c>
      <c r="E295" s="75">
        <f>E296+E297</f>
        <v>294.32224000000002</v>
      </c>
      <c r="F295" s="75">
        <f>F296+F297</f>
        <v>4515.6775799999996</v>
      </c>
      <c r="G295" s="75">
        <f>D295-F295</f>
        <v>574.32242000000042</v>
      </c>
      <c r="H295" s="75">
        <f>H296+H297</f>
        <v>4983.6564699999999</v>
      </c>
      <c r="I295" s="248"/>
      <c r="J295" s="120"/>
    </row>
    <row r="296" spans="1:10" ht="15" customHeight="1" x14ac:dyDescent="0.25">
      <c r="A296" s="1"/>
      <c r="B296" s="254"/>
      <c r="C296" s="177" t="s">
        <v>8</v>
      </c>
      <c r="D296" s="124"/>
      <c r="E296" s="75">
        <f>291.0564</f>
        <v>291.0564</v>
      </c>
      <c r="F296" s="75">
        <f>4081.48117</f>
        <v>4081.48117</v>
      </c>
      <c r="G296" s="75"/>
      <c r="H296" s="75">
        <f>4567.14767</f>
        <v>4567.1476700000003</v>
      </c>
      <c r="I296" s="248"/>
      <c r="J296" s="120"/>
    </row>
    <row r="297" spans="1:10" ht="15" customHeight="1" x14ac:dyDescent="0.25">
      <c r="A297" s="1"/>
      <c r="B297" s="254"/>
      <c r="C297" s="177" t="s">
        <v>67</v>
      </c>
      <c r="D297" s="124"/>
      <c r="E297" s="124">
        <f>3.26584</f>
        <v>3.2658399999999999</v>
      </c>
      <c r="F297" s="124">
        <f>434.19641</f>
        <v>434.19641000000001</v>
      </c>
      <c r="G297" s="168"/>
      <c r="H297" s="124">
        <f>416.5088</f>
        <v>416.50880000000001</v>
      </c>
      <c r="I297" s="248"/>
      <c r="J297" s="120"/>
    </row>
    <row r="298" spans="1:10" ht="15" customHeight="1" x14ac:dyDescent="0.25">
      <c r="A298" s="1"/>
      <c r="B298" s="254"/>
      <c r="C298" s="90" t="s">
        <v>124</v>
      </c>
      <c r="D298" s="124">
        <v>2981</v>
      </c>
      <c r="E298" s="75">
        <f>63.39786</f>
        <v>63.397860000000001</v>
      </c>
      <c r="F298" s="75">
        <f>2332.76005</f>
        <v>2332.7600499999999</v>
      </c>
      <c r="G298" s="75">
        <f>D298-F298</f>
        <v>648.23995000000014</v>
      </c>
      <c r="H298" s="75">
        <f>2824.12136</f>
        <v>2824.1213600000001</v>
      </c>
      <c r="I298" s="248"/>
      <c r="J298" s="120"/>
    </row>
    <row r="299" spans="1:10" ht="16.5" customHeight="1" x14ac:dyDescent="0.25">
      <c r="A299" s="1"/>
      <c r="B299" s="254"/>
      <c r="C299" s="179" t="s">
        <v>87</v>
      </c>
      <c r="D299" s="190">
        <f>D298+D295</f>
        <v>8071</v>
      </c>
      <c r="E299" s="190">
        <f>SUM(E295,E298)</f>
        <v>357.7201</v>
      </c>
      <c r="F299" s="190">
        <f>SUM(F295,F298)</f>
        <v>6848.4376299999994</v>
      </c>
      <c r="G299" s="190">
        <f>D299-F299</f>
        <v>1222.5623700000006</v>
      </c>
      <c r="H299" s="190">
        <f>SUM(H295,H298)</f>
        <v>7807.77783</v>
      </c>
      <c r="I299" s="248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115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2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25">
      <c r="A336" s="218" t="s">
        <v>115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" customHeight="1" x14ac:dyDescent="0.2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25">
      <c r="A342" s="1"/>
      <c r="B342" s="254"/>
      <c r="C342" s="248" t="s">
        <v>126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2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" customHeight="1" x14ac:dyDescent="0.2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2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13.16688</f>
        <v>13.166880000000001</v>
      </c>
      <c r="F350" s="124">
        <f>459.47748</f>
        <v>459.47748000000001</v>
      </c>
      <c r="G350" s="124">
        <f>D350-F350</f>
        <v>340.52251999999999</v>
      </c>
      <c r="H350" s="124">
        <f>437.38943</f>
        <v>437.38943</v>
      </c>
      <c r="I350" s="67"/>
      <c r="J350" s="244"/>
    </row>
    <row r="351" spans="1:10" ht="14.1" customHeight="1" x14ac:dyDescent="0.25">
      <c r="A351" s="1"/>
      <c r="B351" s="254"/>
      <c r="C351" s="90" t="s">
        <v>94</v>
      </c>
      <c r="D351" s="246">
        <v>3041</v>
      </c>
      <c r="E351" s="124">
        <f>22.38763</f>
        <v>22.387630000000001</v>
      </c>
      <c r="F351" s="124">
        <f>1768.28706</f>
        <v>1768.2870600000001</v>
      </c>
      <c r="G351" s="124">
        <f>D351-F351</f>
        <v>1272.7129399999999</v>
      </c>
      <c r="H351" s="124">
        <f>2249.28744</f>
        <v>2249.2874400000001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25">
      <c r="A353" s="67"/>
      <c r="B353" s="250"/>
      <c r="C353" s="146" t="s">
        <v>95</v>
      </c>
      <c r="D353" s="222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1.6866</f>
        <v>1.6866000000000001</v>
      </c>
      <c r="I353" s="284"/>
      <c r="J353" s="120"/>
    </row>
    <row r="354" spans="1:10" ht="14.1" customHeight="1" x14ac:dyDescent="0.25">
      <c r="A354" s="1"/>
      <c r="B354" s="254"/>
      <c r="C354" s="179" t="s">
        <v>87</v>
      </c>
      <c r="D354" s="6">
        <f>D339</f>
        <v>3851</v>
      </c>
      <c r="E354" s="190">
        <f>SUM(E350:E353)</f>
        <v>35.554510000000001</v>
      </c>
      <c r="F354" s="190">
        <f>SUM(F350:F353)</f>
        <v>2231.4651600000002</v>
      </c>
      <c r="G354" s="190">
        <f>D354-F354</f>
        <v>1619.5348399999998</v>
      </c>
      <c r="H354" s="190">
        <f>H350+H351+H352+H353</f>
        <v>2691.10221</v>
      </c>
      <c r="I354" s="1"/>
      <c r="J354" s="120"/>
    </row>
    <row r="355" spans="1:10" ht="14.1" customHeight="1" x14ac:dyDescent="0.2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115</v>
      </c>
    </row>
    <row r="358" spans="1:10" ht="14.1" customHeight="1" x14ac:dyDescent="0.25">
      <c r="A358" s="1" t="s">
        <v>115</v>
      </c>
    </row>
    <row r="359" spans="1:10" ht="14.1" customHeight="1" x14ac:dyDescent="0.25">
      <c r="A359" s="1" t="s">
        <v>115</v>
      </c>
    </row>
    <row r="360" spans="1:10" ht="14.1" customHeight="1" x14ac:dyDescent="0.25">
      <c r="A360" s="1"/>
      <c r="C360" s="150" t="s">
        <v>115</v>
      </c>
    </row>
    <row r="361" spans="1:10" x14ac:dyDescent="0.25">
      <c r="A361" s="1"/>
      <c r="C361" s="150" t="s">
        <v>115</v>
      </c>
    </row>
    <row r="362" spans="1:10" ht="14.1" customHeight="1" x14ac:dyDescent="0.25">
      <c r="A362" s="1"/>
      <c r="C362" s="150" t="s">
        <v>115</v>
      </c>
    </row>
    <row r="363" spans="1:10" ht="14.1" customHeight="1" x14ac:dyDescent="0.25">
      <c r="A363" s="1"/>
      <c r="C363" s="150" t="s">
        <v>115</v>
      </c>
    </row>
    <row r="364" spans="1:10" ht="30" customHeight="1" x14ac:dyDescent="0.3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137</v>
      </c>
      <c r="D373" s="178"/>
      <c r="E373" s="178"/>
      <c r="F373" s="178"/>
      <c r="G373" s="1"/>
      <c r="H373" s="178"/>
      <c r="I373" s="178"/>
      <c r="J373" s="244"/>
    </row>
    <row r="374" spans="1:10" ht="13.35" customHeight="1" x14ac:dyDescent="0.25">
      <c r="B374" s="72"/>
      <c r="C374" s="212" t="s">
        <v>138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2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25">
      <c r="B379" s="72"/>
      <c r="C379" s="223" t="s">
        <v>16</v>
      </c>
      <c r="D379" s="232" t="s">
        <v>17</v>
      </c>
      <c r="E379" s="68" t="s">
        <v>103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" customHeight="1" x14ac:dyDescent="0.2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820.14080000000001</v>
      </c>
      <c r="G380" s="253">
        <f t="shared" si="17"/>
        <v>11209.700359999999</v>
      </c>
      <c r="H380" s="253">
        <f>H384+H383+H382+H381</f>
        <v>11759.299640000001</v>
      </c>
      <c r="I380" s="253">
        <f t="shared" si="17"/>
        <v>11221.834790000001</v>
      </c>
      <c r="J380" s="130"/>
    </row>
    <row r="381" spans="1:10" ht="14.1" customHeight="1" x14ac:dyDescent="0.25">
      <c r="A381" s="218"/>
      <c r="B381" s="72"/>
      <c r="C381" s="255" t="s">
        <v>104</v>
      </c>
      <c r="D381" s="256">
        <v>12051</v>
      </c>
      <c r="E381" s="256">
        <v>13190</v>
      </c>
      <c r="F381" s="257">
        <f>365.78465</f>
        <v>365.78465</v>
      </c>
      <c r="G381" s="257">
        <f>6394.25067</f>
        <v>6394.2506700000004</v>
      </c>
      <c r="H381" s="257">
        <f t="shared" ref="H381:H385" si="18">E381-G381</f>
        <v>6795.7493299999996</v>
      </c>
      <c r="I381" s="257">
        <f>6024.7511</f>
        <v>6024.7511000000004</v>
      </c>
      <c r="J381" s="130"/>
    </row>
    <row r="382" spans="1:10" ht="14.1" customHeight="1" x14ac:dyDescent="0.25">
      <c r="A382" s="218"/>
      <c r="B382" s="72"/>
      <c r="C382" s="260" t="s">
        <v>21</v>
      </c>
      <c r="D382" s="256">
        <v>3136</v>
      </c>
      <c r="E382" s="256">
        <v>3433</v>
      </c>
      <c r="F382" s="257">
        <f>359.07031</f>
        <v>359.07031000000001</v>
      </c>
      <c r="G382" s="257">
        <f>1542.79621</f>
        <v>1542.79621</v>
      </c>
      <c r="H382" s="257">
        <f t="shared" si="18"/>
        <v>1890.20379</v>
      </c>
      <c r="I382" s="257">
        <f>1205.54055</f>
        <v>1205.5405499999999</v>
      </c>
      <c r="J382" s="130"/>
    </row>
    <row r="383" spans="1:10" ht="14.1" customHeight="1" x14ac:dyDescent="0.25">
      <c r="A383" s="218"/>
      <c r="B383" s="72"/>
      <c r="C383" s="260" t="s">
        <v>100</v>
      </c>
      <c r="D383" s="256">
        <v>1454</v>
      </c>
      <c r="E383" s="256">
        <v>1483</v>
      </c>
      <c r="F383" s="257">
        <f>12.14544</f>
        <v>12.145440000000001</v>
      </c>
      <c r="G383" s="257">
        <f>1525.11382</f>
        <v>1525.11382</v>
      </c>
      <c r="H383" s="257">
        <f t="shared" si="18"/>
        <v>-42.113820000000032</v>
      </c>
      <c r="I383" s="257">
        <f>1598.21864</f>
        <v>1598.2186400000001</v>
      </c>
      <c r="J383" s="130"/>
    </row>
    <row r="384" spans="1:10" ht="14.1" customHeight="1" x14ac:dyDescent="0.25">
      <c r="A384" s="218"/>
      <c r="B384" s="72"/>
      <c r="C384" s="262" t="s">
        <v>105</v>
      </c>
      <c r="D384" s="263">
        <v>4867</v>
      </c>
      <c r="E384" s="263">
        <v>4863</v>
      </c>
      <c r="F384" s="257">
        <f>83.1404</f>
        <v>83.1404</v>
      </c>
      <c r="G384" s="257">
        <f>1747.53966</f>
        <v>1747.5396599999999</v>
      </c>
      <c r="H384" s="257">
        <f t="shared" si="18"/>
        <v>3115.4603400000001</v>
      </c>
      <c r="I384" s="257">
        <f>2393.3245</f>
        <v>2393.3245000000002</v>
      </c>
      <c r="J384" s="130"/>
    </row>
    <row r="385" spans="1:10" ht="14.1" customHeight="1" x14ac:dyDescent="0.25">
      <c r="A385" s="218"/>
      <c r="B385" s="72"/>
      <c r="C385" s="265" t="s">
        <v>59</v>
      </c>
      <c r="D385" s="266">
        <v>5500</v>
      </c>
      <c r="E385" s="266">
        <v>5500</v>
      </c>
      <c r="F385" s="268">
        <f>4.441</f>
        <v>4.4409999999999998</v>
      </c>
      <c r="G385" s="268">
        <f>2139.48778</f>
        <v>2139.4877799999999</v>
      </c>
      <c r="H385" s="268">
        <f t="shared" si="18"/>
        <v>3360.5122200000001</v>
      </c>
      <c r="I385" s="268">
        <f>5104.33828</f>
        <v>5104.3382799999999</v>
      </c>
      <c r="J385" s="130"/>
    </row>
    <row r="386" spans="1:10" ht="14.1" customHeight="1" x14ac:dyDescent="0.2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47.000920000000001</v>
      </c>
      <c r="G386" s="269">
        <f>G388+G387</f>
        <v>2337.0065199999999</v>
      </c>
      <c r="H386" s="269">
        <f>E386-G386</f>
        <v>5662.9934800000001</v>
      </c>
      <c r="I386" s="269">
        <f>I388+I387</f>
        <v>2997.2869599999999</v>
      </c>
      <c r="J386" s="130"/>
    </row>
    <row r="387" spans="1:10" ht="14.1" customHeight="1" x14ac:dyDescent="0.2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757.97433</f>
        <v>757.97433000000001</v>
      </c>
      <c r="H387" s="257"/>
      <c r="I387" s="257">
        <f>840.24008</f>
        <v>840.24008000000003</v>
      </c>
      <c r="J387" s="130"/>
    </row>
    <row r="388" spans="1:10" ht="14.1" customHeight="1" x14ac:dyDescent="0.25">
      <c r="A388" s="218"/>
      <c r="B388" s="72"/>
      <c r="C388" s="273" t="s">
        <v>106</v>
      </c>
      <c r="D388" s="274"/>
      <c r="E388" s="277"/>
      <c r="F388" s="278">
        <f>47.00092</f>
        <v>47.000920000000001</v>
      </c>
      <c r="G388" s="278">
        <f>1579.03219</f>
        <v>1579.0321899999999</v>
      </c>
      <c r="H388" s="278"/>
      <c r="I388" s="278">
        <f>2157.04688</f>
        <v>2157.0468799999999</v>
      </c>
      <c r="J388" s="130"/>
    </row>
    <row r="389" spans="1:10" ht="14.1" customHeight="1" x14ac:dyDescent="0.2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0.1164</f>
        <v>0.1164</v>
      </c>
      <c r="H389" s="268">
        <f>E389-G389</f>
        <v>12.883599999999999</v>
      </c>
      <c r="I389" s="268">
        <f>0.0735</f>
        <v>7.3499999999999996E-2</v>
      </c>
      <c r="J389" s="130"/>
    </row>
    <row r="390" spans="1:10" ht="14.1" customHeight="1" x14ac:dyDescent="0.25">
      <c r="A390" s="218"/>
      <c r="B390" s="72"/>
      <c r="C390" s="279" t="s">
        <v>107</v>
      </c>
      <c r="D390" s="282"/>
      <c r="E390" s="283"/>
      <c r="F390" s="268">
        <f>0.0976</f>
        <v>9.7600000000000006E-2</v>
      </c>
      <c r="G390" s="268">
        <f>102.7772</f>
        <v>102.77719999999999</v>
      </c>
      <c r="H390" s="268">
        <f>E390-G390</f>
        <v>-102.77719999999999</v>
      </c>
      <c r="I390" s="268">
        <f>115.02962</f>
        <v>115.02961999999999</v>
      </c>
      <c r="J390" s="130"/>
    </row>
    <row r="391" spans="1:10" ht="19.5" customHeight="1" x14ac:dyDescent="0.2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871.68032000000005</v>
      </c>
      <c r="G391" s="287">
        <f t="shared" si="19"/>
        <v>15789.088259999999</v>
      </c>
      <c r="H391" s="287">
        <f>H380+H385+H386+H389+H390</f>
        <v>20692.911740000003</v>
      </c>
      <c r="I391" s="287">
        <f t="shared" si="19"/>
        <v>19438.563150000002</v>
      </c>
      <c r="J391" s="130"/>
    </row>
    <row r="392" spans="1:10" ht="14.1" customHeight="1" x14ac:dyDescent="0.25">
      <c r="A392" s="218"/>
      <c r="B392" s="72"/>
      <c r="C392" s="161" t="s">
        <v>108</v>
      </c>
      <c r="D392" s="289"/>
      <c r="E392" s="289"/>
      <c r="F392" s="4"/>
      <c r="G392" s="4"/>
      <c r="H392" s="5"/>
      <c r="I392" s="5"/>
      <c r="J392" s="130"/>
    </row>
    <row r="393" spans="1:10" ht="14.1" customHeight="1" x14ac:dyDescent="0.25">
      <c r="A393" s="218"/>
      <c r="B393" s="72"/>
      <c r="C393" s="101" t="s">
        <v>136</v>
      </c>
      <c r="D393" s="289"/>
      <c r="E393" s="289"/>
      <c r="F393" s="4"/>
      <c r="G393" s="4"/>
      <c r="H393" s="7"/>
      <c r="I393" s="5"/>
      <c r="J393" s="130"/>
    </row>
    <row r="394" spans="1:10" ht="14.1" customHeight="1" x14ac:dyDescent="0.25">
      <c r="A394" s="218"/>
      <c r="B394" s="72"/>
      <c r="C394" s="101" t="s">
        <v>135</v>
      </c>
      <c r="D394" s="289"/>
      <c r="E394" s="289"/>
      <c r="F394" s="4"/>
      <c r="G394" s="4"/>
      <c r="H394" s="5"/>
      <c r="I394" s="7"/>
      <c r="J394" s="130"/>
    </row>
    <row r="395" spans="1:10" ht="15.75" customHeight="1" x14ac:dyDescent="0.2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8"/>
      <c r="B396" s="150" t="s">
        <v>115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8"/>
      <c r="B397" s="150" t="s">
        <v>115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8"/>
      <c r="C398" s="150" t="s">
        <v>115</v>
      </c>
      <c r="D398" s="156"/>
    </row>
    <row r="399" spans="1:10" ht="14.1" customHeight="1" x14ac:dyDescent="0.2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" customHeight="1" x14ac:dyDescent="0.25">
      <c r="A400" s="218"/>
      <c r="B400" s="72"/>
      <c r="C400" s="219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8"/>
      <c r="B407" s="72"/>
      <c r="C407" s="308" t="s">
        <v>142</v>
      </c>
      <c r="D407" s="308"/>
      <c r="E407" s="308"/>
      <c r="F407" s="308"/>
      <c r="G407" s="214"/>
      <c r="H407" s="214"/>
      <c r="I407" s="150"/>
      <c r="J407" s="130"/>
    </row>
    <row r="408" spans="1:10" ht="14.1" customHeight="1" x14ac:dyDescent="0.2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" customHeight="1" x14ac:dyDescent="0.2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25">
      <c r="A412" s="218"/>
      <c r="B412" s="198"/>
      <c r="C412" s="20" t="s">
        <v>110</v>
      </c>
      <c r="D412" s="22" t="s">
        <v>111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" customHeight="1" x14ac:dyDescent="0.25">
      <c r="A413" s="218"/>
      <c r="B413" s="72"/>
      <c r="C413" s="265" t="s">
        <v>112</v>
      </c>
      <c r="D413" s="204">
        <v>894</v>
      </c>
      <c r="E413" s="26">
        <f>SUM(E414:E415)</f>
        <v>34.912500000000001</v>
      </c>
      <c r="F413" s="26">
        <f>SUM(F414:F415)</f>
        <v>582.67007999999998</v>
      </c>
      <c r="G413" s="85">
        <f>D413-F413</f>
        <v>311.32992000000002</v>
      </c>
      <c r="H413" s="26">
        <f>SUM(H414:H415)</f>
        <v>542.96009000000004</v>
      </c>
      <c r="I413" s="27"/>
      <c r="J413" s="130"/>
    </row>
    <row r="414" spans="1:10" ht="14.1" customHeight="1" x14ac:dyDescent="0.25">
      <c r="A414" s="218"/>
      <c r="B414" s="72"/>
      <c r="C414" s="29" t="s">
        <v>8</v>
      </c>
      <c r="E414" s="205">
        <f>28.89</f>
        <v>28.89</v>
      </c>
      <c r="F414" s="205">
        <f>462.12108</f>
        <v>462.12108000000001</v>
      </c>
      <c r="G414" s="206"/>
      <c r="H414" s="205">
        <f>423.4176</f>
        <v>423.41759999999999</v>
      </c>
      <c r="I414" s="150"/>
      <c r="J414" s="130"/>
    </row>
    <row r="415" spans="1:10" ht="14.1" customHeight="1" x14ac:dyDescent="0.25">
      <c r="A415" s="218"/>
      <c r="B415" s="72"/>
      <c r="C415" s="29" t="s">
        <v>11</v>
      </c>
      <c r="D415" s="207"/>
      <c r="E415" s="208">
        <f>6.0225</f>
        <v>6.0225</v>
      </c>
      <c r="F415" s="208">
        <f>120.549</f>
        <v>120.54900000000001</v>
      </c>
      <c r="G415" s="209"/>
      <c r="H415" s="208">
        <f>119.54249</f>
        <v>119.54249</v>
      </c>
      <c r="I415" s="150"/>
      <c r="J415" s="130"/>
    </row>
    <row r="416" spans="1:10" ht="14.1" customHeight="1" x14ac:dyDescent="0.25">
      <c r="A416" s="218"/>
      <c r="B416" s="72"/>
      <c r="C416" s="265" t="s">
        <v>113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" customHeight="1" x14ac:dyDescent="0.2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" customHeight="1" x14ac:dyDescent="0.2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" customHeight="1" x14ac:dyDescent="0.25">
      <c r="A419" s="218"/>
      <c r="B419" s="72"/>
      <c r="C419" s="265" t="s">
        <v>114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" customHeight="1" x14ac:dyDescent="0.2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34.912500000000001</v>
      </c>
      <c r="F423" s="40">
        <f>F413+F416+F419+F422</f>
        <v>582.67007999999998</v>
      </c>
      <c r="G423" s="41">
        <f>D423-F423</f>
        <v>2098.3299200000001</v>
      </c>
      <c r="H423" s="40">
        <f>H413+H416+H419+H422</f>
        <v>542.96009000000004</v>
      </c>
      <c r="I423" s="27"/>
      <c r="J423" s="130"/>
    </row>
    <row r="424" spans="1:10" ht="42" customHeight="1" x14ac:dyDescent="0.25">
      <c r="A424" s="218"/>
      <c r="B424" s="72"/>
      <c r="C424" s="301" t="s">
        <v>119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424:J424"/>
    <mergeCell ref="C52:H52"/>
    <mergeCell ref="D55:D59"/>
    <mergeCell ref="G55:G59"/>
    <mergeCell ref="C81:D81"/>
    <mergeCell ref="E81:F81"/>
    <mergeCell ref="G81:H81"/>
    <mergeCell ref="C407:F407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34&amp;R26.08.2024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2024-08-27T10:05:47Z</dcterms:modified>
</cp:coreProperties>
</file>