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FF79763A-25EE-40B2-B0C4-07CD7F93C3DB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H125" i="1" s="1"/>
  <c r="G124" i="1"/>
  <c r="G123" i="1"/>
  <c r="H345" i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E273" i="1"/>
  <c r="D273" i="1"/>
  <c r="I272" i="1"/>
  <c r="H272" i="1"/>
  <c r="G272" i="1"/>
  <c r="F272" i="1"/>
  <c r="I271" i="1"/>
  <c r="H271" i="1"/>
  <c r="G271" i="1"/>
  <c r="F271" i="1"/>
  <c r="I270" i="1"/>
  <c r="I268" i="1" s="1"/>
  <c r="G270" i="1"/>
  <c r="G268" i="1" s="1"/>
  <c r="H268" i="1" s="1"/>
  <c r="F270" i="1"/>
  <c r="I269" i="1"/>
  <c r="G269" i="1"/>
  <c r="F269" i="1"/>
  <c r="F268" i="1" s="1"/>
  <c r="I267" i="1"/>
  <c r="G267" i="1"/>
  <c r="H267" i="1" s="1"/>
  <c r="F267" i="1"/>
  <c r="I266" i="1"/>
  <c r="G266" i="1"/>
  <c r="H266" i="1" s="1"/>
  <c r="F266" i="1"/>
  <c r="F262" i="1" s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I262" i="1"/>
  <c r="G262" i="1"/>
  <c r="G273" i="1" s="1"/>
  <c r="E262" i="1"/>
  <c r="D262" i="1"/>
  <c r="H254" i="1"/>
  <c r="F254" i="1"/>
  <c r="D251" i="1"/>
  <c r="D250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E241" i="1" s="1"/>
  <c r="D230" i="1"/>
  <c r="D219" i="1"/>
  <c r="H218" i="1"/>
  <c r="F218" i="1"/>
  <c r="G218" i="1" s="1"/>
  <c r="E218" i="1"/>
  <c r="H217" i="1"/>
  <c r="F217" i="1"/>
  <c r="E217" i="1"/>
  <c r="E215" i="1" s="1"/>
  <c r="E219" i="1" s="1"/>
  <c r="H216" i="1"/>
  <c r="F216" i="1"/>
  <c r="F215" i="1" s="1"/>
  <c r="E216" i="1"/>
  <c r="H215" i="1"/>
  <c r="H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F202" i="1" s="1"/>
  <c r="E203" i="1"/>
  <c r="E202" i="1"/>
  <c r="E206" i="1" s="1"/>
  <c r="E192" i="1"/>
  <c r="D192" i="1"/>
  <c r="I191" i="1"/>
  <c r="H191" i="1"/>
  <c r="G191" i="1"/>
  <c r="F191" i="1"/>
  <c r="I190" i="1"/>
  <c r="I192" i="1" s="1"/>
  <c r="G190" i="1"/>
  <c r="G192" i="1" s="1"/>
  <c r="H192" i="1" s="1"/>
  <c r="F190" i="1"/>
  <c r="I189" i="1"/>
  <c r="H189" i="1"/>
  <c r="G189" i="1"/>
  <c r="F189" i="1"/>
  <c r="F192" i="1" s="1"/>
  <c r="D169" i="1"/>
  <c r="G169" i="1" s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E164" i="1"/>
  <c r="E163" i="1" s="1"/>
  <c r="E169" i="1" s="1"/>
  <c r="G163" i="1"/>
  <c r="F163" i="1"/>
  <c r="H162" i="1"/>
  <c r="G162" i="1"/>
  <c r="F162" i="1"/>
  <c r="E162" i="1"/>
  <c r="H161" i="1"/>
  <c r="H169" i="1" s="1"/>
  <c r="F161" i="1"/>
  <c r="E161" i="1"/>
  <c r="H160" i="1"/>
  <c r="F160" i="1"/>
  <c r="F169" i="1" s="1"/>
  <c r="E160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F126" i="1" s="1"/>
  <c r="F120" i="1" s="1"/>
  <c r="I127" i="1"/>
  <c r="I126" i="1" s="1"/>
  <c r="G127" i="1"/>
  <c r="H127" i="1" s="1"/>
  <c r="H126" i="1" s="1"/>
  <c r="F127" i="1"/>
  <c r="E126" i="1"/>
  <c r="D126" i="1"/>
  <c r="I125" i="1"/>
  <c r="F125" i="1"/>
  <c r="I124" i="1"/>
  <c r="H124" i="1"/>
  <c r="F124" i="1"/>
  <c r="I123" i="1"/>
  <c r="H123" i="1"/>
  <c r="F123" i="1"/>
  <c r="I122" i="1"/>
  <c r="I121" i="1" s="1"/>
  <c r="I120" i="1" s="1"/>
  <c r="H122" i="1"/>
  <c r="G122" i="1"/>
  <c r="F122" i="1"/>
  <c r="G121" i="1"/>
  <c r="F121" i="1"/>
  <c r="E121" i="1"/>
  <c r="D121" i="1"/>
  <c r="D120" i="1" s="1"/>
  <c r="E120" i="1"/>
  <c r="I119" i="1"/>
  <c r="H119" i="1"/>
  <c r="F119" i="1"/>
  <c r="I118" i="1"/>
  <c r="H118" i="1"/>
  <c r="G118" i="1"/>
  <c r="F118" i="1"/>
  <c r="I117" i="1"/>
  <c r="H117" i="1"/>
  <c r="H115" i="1" s="1"/>
  <c r="G117" i="1"/>
  <c r="F117" i="1"/>
  <c r="I116" i="1"/>
  <c r="H116" i="1"/>
  <c r="G116" i="1"/>
  <c r="F116" i="1"/>
  <c r="I115" i="1"/>
  <c r="I137" i="1" s="1"/>
  <c r="G115" i="1"/>
  <c r="F115" i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I83" i="1" s="1"/>
  <c r="I82" i="1" s="1"/>
  <c r="G84" i="1"/>
  <c r="H84" i="1" s="1"/>
  <c r="H83" i="1" s="1"/>
  <c r="H82" i="1" s="1"/>
  <c r="F84" i="1"/>
  <c r="G83" i="1"/>
  <c r="F83" i="1"/>
  <c r="E83" i="1"/>
  <c r="E82" i="1" s="1"/>
  <c r="D83" i="1"/>
  <c r="G82" i="1"/>
  <c r="F82" i="1"/>
  <c r="D82" i="1"/>
  <c r="I81" i="1"/>
  <c r="I79" i="1" s="1"/>
  <c r="G81" i="1"/>
  <c r="H81" i="1" s="1"/>
  <c r="F81" i="1"/>
  <c r="I80" i="1"/>
  <c r="G80" i="1"/>
  <c r="G79" i="1" s="1"/>
  <c r="G94" i="1" s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G52" i="1"/>
  <c r="H52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H34" i="1" s="1"/>
  <c r="F34" i="1"/>
  <c r="F33" i="1" s="1"/>
  <c r="I33" i="1"/>
  <c r="G33" i="1"/>
  <c r="E33" i="1"/>
  <c r="D33" i="1"/>
  <c r="I32" i="1"/>
  <c r="G32" i="1"/>
  <c r="H32" i="1" s="1"/>
  <c r="F32" i="1"/>
  <c r="I31" i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E25" i="1" s="1"/>
  <c r="D26" i="1"/>
  <c r="D25" i="1"/>
  <c r="I24" i="1"/>
  <c r="H24" i="1"/>
  <c r="G24" i="1"/>
  <c r="F24" i="1"/>
  <c r="F22" i="1" s="1"/>
  <c r="I23" i="1"/>
  <c r="G23" i="1"/>
  <c r="G22" i="1" s="1"/>
  <c r="F23" i="1"/>
  <c r="I22" i="1"/>
  <c r="E22" i="1"/>
  <c r="D22" i="1"/>
  <c r="D42" i="1" s="1"/>
  <c r="H16" i="1"/>
  <c r="F16" i="1"/>
  <c r="D16" i="1"/>
  <c r="H121" i="1" l="1"/>
  <c r="H120" i="1" s="1"/>
  <c r="H137" i="1" s="1"/>
  <c r="I25" i="1"/>
  <c r="I42" i="1" s="1"/>
  <c r="I26" i="1"/>
  <c r="F26" i="1"/>
  <c r="F25" i="1" s="1"/>
  <c r="F42" i="1" s="1"/>
  <c r="G31" i="1"/>
  <c r="H31" i="1" s="1"/>
  <c r="H26" i="1" s="1"/>
  <c r="G215" i="1"/>
  <c r="F219" i="1"/>
  <c r="G219" i="1"/>
  <c r="I273" i="1"/>
  <c r="E42" i="1"/>
  <c r="D137" i="1"/>
  <c r="G120" i="1"/>
  <c r="G137" i="1" s="1"/>
  <c r="F273" i="1"/>
  <c r="H262" i="1"/>
  <c r="H273" i="1" s="1"/>
  <c r="F304" i="1"/>
  <c r="G304" i="1" s="1"/>
  <c r="G294" i="1"/>
  <c r="G202" i="1"/>
  <c r="F206" i="1"/>
  <c r="G206" i="1" s="1"/>
  <c r="F137" i="1"/>
  <c r="I94" i="1"/>
  <c r="H33" i="1"/>
  <c r="G126" i="1"/>
  <c r="G323" i="1"/>
  <c r="G324" i="1" s="1"/>
  <c r="H23" i="1"/>
  <c r="H22" i="1" s="1"/>
  <c r="H80" i="1"/>
  <c r="H79" i="1" s="1"/>
  <c r="H94" i="1" s="1"/>
  <c r="G237" i="1"/>
  <c r="G160" i="1"/>
  <c r="H190" i="1"/>
  <c r="G26" i="1" l="1"/>
  <c r="G25" i="1" s="1"/>
  <c r="G42" i="1" s="1"/>
  <c r="H25" i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<sst xmlns="http://schemas.openxmlformats.org/spreadsheetml/2006/main" count="393" uniqueCount="167">
  <si>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</si>
  <si>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</si>
  <si>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</si>
  <si>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</si>
  <si>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</si>
  <si>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</si>
  <si>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</si>
  <si>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</si>
  <si>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</si>
  <si>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</si>
  <si>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</si>
  <si>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</si>
  <si>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</si>
  <si>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</si>
  <si>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</si>
  <si>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</si>
  <si>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</si>
  <si>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</si>
  <si>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</si>
  <si>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</si>
  <si>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</si>
  <si>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</si>
  <si>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</si>
  <si>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</si>
  <si>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</si>
  <si>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</si>
  <si>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</si>
  <si>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</si>
  <si>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</si>
  <si>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</si>
  <si>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</si>
  <si>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</si>
  <si>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</si>
  <si>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</si>
  <si>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</si>
  <si>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</si>
  <si>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</si>
  <si>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</si>
  <si>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</si>
  <si>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</si>
  <si>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</si>
  <si>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</si>
  <si>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</si>
  <si>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</si>
  <si>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</si>
  <si>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</si>
  <si>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</si>
  <si>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</si>
  <si>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</si>
  <si>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</si>
  <si>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</si>
  <si>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</si>
  <si>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</si>
  <si>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</si>
  <si>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</si>
  <si>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</si>
  <si>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</si>
  <si>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</si>
  <si>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</si>
  <si>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</si>
  <si>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</si>
  <si>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</si>
  <si>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</si>
  <si>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</si>
  <si>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</si>
  <si>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</si>
  <si>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</si>
  <si>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</si>
  <si>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</si>
  <si>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</si>
  <si>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</si>
  <si>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</si>
  <si>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</si>
  <si>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</si>
  <si>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</si>
  <si>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</si>
  <si>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</si>
  <si>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</si>
  <si>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</si>
  <si>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</si>
  <si>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</si>
  <si>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</si>
  <si>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</si>
  <si>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</si>
  <si>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</si>
  <si>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</si>
  <si>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</si>
  <si>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</si>
  <si>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</si>
  <si>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</si>
  <si>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</si>
  <si>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</si>
  <si>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</si>
  <si>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</si>
  <si>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</si>
  <si>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</si>
  <si>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</si>
  <si>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</si>
  <si>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</si>
  <si>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</si>
  <si>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</si>
  <si>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</si>
  <si>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</si>
  <si>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</si>
  <si>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</si>
  <si>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</si>
  <si>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</si>
  <si>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</si>
  <si>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</si>
  <si>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</si>
  <si>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</si>
  <si>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</si>
  <si>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</si>
  <si>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</si>
  <si>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</si>
  <si>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</si>
  <si>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</si>
  <si>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</si>
  <si>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</si>
  <si>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</si>
  <si>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</si>
  <si>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</si>
  <si>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</si>
  <si>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</si>
  <si>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</si>
  <si>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</si>
  <si>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</si>
  <si>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</si>
  <si>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</si>
  <si>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</si>
  <si>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</si>
  <si>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</si>
  <si>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</si>
  <si>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</si>
  <si>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</si>
  <si>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</si>
  <si>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</si>
  <si>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</si>
  <si>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</si>
  <si>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</si>
  <si>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</si>
  <si>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</si>
  <si>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</si>
  <si>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</si>
  <si>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</si>
  <si>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</si>
  <si>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</si>
  <si>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</si>
  <si>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</si>
  <si>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</si>
  <si>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</si>
  <si>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</si>
  <si>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</si>
  <si>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</si>
  <si>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</si>
  <si>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</si>
  <si>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</si>
  <si>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</si>
  <si>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</si>
  <si>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53 tonn, men det legges til grunn at hele avsetningen tas</t>
  </si>
  <si>
    <t>4 Registrert rekreasjonsfiske utgjør 402 tonn, men det legges til grunn at hele avsetningen tas</t>
  </si>
  <si>
    <t>3 Registrert rekreasjonsfiske utgjør 772 tonn, men det legges til grunn at hele avsetningen tas</t>
  </si>
  <si>
    <t>FANGST UKE 46</t>
  </si>
  <si>
    <t>FANGST T.O.M UKE 46</t>
  </si>
  <si>
    <t>RESTKVOTER UKE 46</t>
  </si>
  <si>
    <t>FANGST T.O.M UKE 46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</si>
  <si>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3 879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</si>
</sst>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3" fontId="16" fillId="0" borderId="17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7" zoomScale="112" zoomScaleNormal="55" zoomScaleSheetLayoutView="100" zoomScalePageLayoutView="85" workbookViewId="0">
      <selection activeCell="G46" sqref="G46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1035.47516</v>
      </c>
      <c r="G22" s="27">
        <f t="shared" si="0"/>
        <v>31655.352019999998</v>
      </c>
      <c r="H22" s="10">
        <f t="shared" si="0"/>
        <v>9931.6479799999997</v>
      </c>
      <c r="I22" s="10">
        <f t="shared" si="0"/>
        <v>48921.418310000001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333">
        <v>40825</v>
      </c>
      <c r="F23" s="22">
        <f>1035.47516</f>
        <v>1035.47516</v>
      </c>
      <c r="G23" s="22">
        <f>31194.24497</f>
        <v>31194.24497</v>
      </c>
      <c r="H23" s="22">
        <f>E23-G23</f>
        <v>9630.7550300000003</v>
      </c>
      <c r="I23" s="22">
        <f>48363.53609</f>
        <v>48363.536090000001</v>
      </c>
      <c r="J23" s="267"/>
    </row>
    <row r="24" spans="1:10" ht="14.1" customHeight="1" thickBot="1" x14ac:dyDescent="0.3">
      <c r="A24" s="1"/>
      <c r="B24" s="277"/>
      <c r="C24" s="47" t="s">
        <v>21</v>
      </c>
      <c r="D24" s="218">
        <v>750</v>
      </c>
      <c r="E24" s="334">
        <v>762</v>
      </c>
      <c r="F24" s="165">
        <f>0</f>
        <v>0</v>
      </c>
      <c r="G24" s="22">
        <f>461.10705</f>
        <v>461.10705000000002</v>
      </c>
      <c r="H24" s="22">
        <f>E24-G24</f>
        <v>300.89294999999998</v>
      </c>
      <c r="I24" s="22">
        <f>557.88222</f>
        <v>557.88221999999996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755.09698000000003</v>
      </c>
      <c r="G25" s="10">
        <f t="shared" si="1"/>
        <v>111203.30693999999</v>
      </c>
      <c r="H25" s="10">
        <f t="shared" si="1"/>
        <v>10528.693059999998</v>
      </c>
      <c r="I25" s="10">
        <f t="shared" si="1"/>
        <v>130320.99122000001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580.83217000000002</v>
      </c>
      <c r="G26" s="129">
        <f>G27+G28+G29+G30+G31</f>
        <v>88644.55365999999</v>
      </c>
      <c r="H26" s="129">
        <f t="shared" ref="H26:I26" si="2">H27+H28+H29+H30+H31</f>
        <v>6218.4463399999986</v>
      </c>
      <c r="I26" s="129">
        <f t="shared" si="2"/>
        <v>104750.92279000001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336">
        <v>25143</v>
      </c>
      <c r="F27" s="209">
        <f>243.59049 - F53</f>
        <v>72.590489999999988</v>
      </c>
      <c r="G27" s="123">
        <f>24598.41321 - G53</f>
        <v>23067.413209999999</v>
      </c>
      <c r="H27" s="123">
        <f t="shared" ref="H27:H39" si="3">E27-G27</f>
        <v>2075.5867900000012</v>
      </c>
      <c r="I27" s="123">
        <f>27313.81186 - I53</f>
        <v>26030.811860000002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336">
        <v>23988</v>
      </c>
      <c r="F28" s="123">
        <f>228.02516 - F54</f>
        <v>95.02516</v>
      </c>
      <c r="G28" s="123">
        <f>24620.2125 - G54</f>
        <v>22919.212500000001</v>
      </c>
      <c r="H28" s="123">
        <f t="shared" si="3"/>
        <v>1068.7874999999985</v>
      </c>
      <c r="I28" s="123">
        <f>29991.29089 - I54</f>
        <v>28289.29089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336">
        <v>21861</v>
      </c>
      <c r="F29" s="123">
        <f>81.3657 - F55</f>
        <v>21.365700000000004</v>
      </c>
      <c r="G29" s="123">
        <f>22978.35957 - G55</f>
        <v>21460.359570000001</v>
      </c>
      <c r="H29" s="123">
        <f t="shared" si="3"/>
        <v>400.64042999999947</v>
      </c>
      <c r="I29" s="123">
        <f>27275.90454 - I55</f>
        <v>25931.90454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336">
        <v>15640</v>
      </c>
      <c r="F30" s="123">
        <f>27.85082 - F56</f>
        <v>2.8508199999999988</v>
      </c>
      <c r="G30" s="123">
        <f>16447.56838 - G56</f>
        <v>15477.568380000001</v>
      </c>
      <c r="H30" s="123">
        <f t="shared" si="3"/>
        <v>162.43161999999938</v>
      </c>
      <c r="I30" s="123">
        <f>20169.9155 - I56</f>
        <v>19039.915499999999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336">
        <v>8231</v>
      </c>
      <c r="F31" s="123">
        <f>F52</f>
        <v>389</v>
      </c>
      <c r="G31" s="123">
        <f>G52</f>
        <v>5720</v>
      </c>
      <c r="H31" s="123">
        <f>E31-G31</f>
        <v>2511</v>
      </c>
      <c r="I31" s="123">
        <f>I52</f>
        <v>5459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335">
        <v>13691</v>
      </c>
      <c r="F32" s="129">
        <f>50.93995</f>
        <v>50.939950000000003</v>
      </c>
      <c r="G32" s="129">
        <f>10401.53463</f>
        <v>10401.53463</v>
      </c>
      <c r="H32" s="129">
        <f t="shared" si="3"/>
        <v>3289.4653699999999</v>
      </c>
      <c r="I32" s="129">
        <f>13130.08352</f>
        <v>13130.08352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123.32486</v>
      </c>
      <c r="G33" s="129">
        <f>G34+G35</f>
        <v>12157.218650000001</v>
      </c>
      <c r="H33" s="129">
        <f t="shared" si="3"/>
        <v>1020.7813499999993</v>
      </c>
      <c r="I33" s="129">
        <f>I34+I35</f>
        <v>12439.984909999999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337">
        <v>12218</v>
      </c>
      <c r="F34" s="123">
        <f>135.32486 - F57 - F58</f>
        <v>48.324860000000001</v>
      </c>
      <c r="G34" s="129">
        <f>14369.21865 - G57 - G58</f>
        <v>11112.218650000001</v>
      </c>
      <c r="H34" s="123">
        <f t="shared" si="3"/>
        <v>1105.7813499999993</v>
      </c>
      <c r="I34" s="123">
        <f>15330.98491 - I57 - I58</f>
        <v>11679.984909999999</v>
      </c>
      <c r="J34" s="63"/>
    </row>
    <row r="35" spans="1:10" ht="14.1" customHeight="1" thickBot="1" x14ac:dyDescent="0.3">
      <c r="A35" s="192"/>
      <c r="B35" s="176"/>
      <c r="C35" s="66" t="s">
        <v>31</v>
      </c>
      <c r="D35" s="220">
        <v>960</v>
      </c>
      <c r="E35" s="339">
        <v>960</v>
      </c>
      <c r="F35" s="67">
        <f>F57</f>
        <v>75</v>
      </c>
      <c r="G35" s="67">
        <f>G57</f>
        <v>1045</v>
      </c>
      <c r="H35" s="67">
        <f t="shared" si="3"/>
        <v>-85</v>
      </c>
      <c r="I35" s="67">
        <f>I57</f>
        <v>760</v>
      </c>
      <c r="J35" s="63"/>
    </row>
    <row r="36" spans="1:10" ht="15.75" customHeight="1" thickBot="1" x14ac:dyDescent="0.3">
      <c r="A36" s="1"/>
      <c r="B36" s="277"/>
      <c r="C36" s="70" t="s">
        <v>32</v>
      </c>
      <c r="D36" s="140">
        <v>1000</v>
      </c>
      <c r="E36" s="338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thickBot="1" x14ac:dyDescent="0.3">
      <c r="A37" s="1"/>
      <c r="B37" s="277"/>
      <c r="C37" s="70" t="s">
        <v>33</v>
      </c>
      <c r="D37" s="140">
        <v>855</v>
      </c>
      <c r="E37" s="338">
        <v>855</v>
      </c>
      <c r="F37" s="95">
        <f>3.13614</f>
        <v>3.1361400000000001</v>
      </c>
      <c r="G37" s="95">
        <f>640.66741</f>
        <v>640.66741000000002</v>
      </c>
      <c r="H37" s="95">
        <f t="shared" si="3"/>
        <v>214.33258999999998</v>
      </c>
      <c r="I37" s="95">
        <f>508.27456</f>
        <v>508.27456000000001</v>
      </c>
      <c r="J37" s="267"/>
    </row>
    <row r="38" spans="1:10" ht="17.25" customHeight="1" thickBot="1" x14ac:dyDescent="0.3">
      <c r="A38" s="1"/>
      <c r="B38" s="277"/>
      <c r="C38" s="70" t="s">
        <v>34</v>
      </c>
      <c r="D38" s="140">
        <v>3000</v>
      </c>
      <c r="E38" s="338">
        <v>3000</v>
      </c>
      <c r="F38" s="95">
        <f>F58</f>
        <v>12</v>
      </c>
      <c r="G38" s="95">
        <f>G58</f>
        <v>2212</v>
      </c>
      <c r="H38" s="95">
        <f t="shared" si="3"/>
        <v>788</v>
      </c>
      <c r="I38" s="95">
        <f>I58</f>
        <v>2891</v>
      </c>
      <c r="J38" s="267"/>
    </row>
    <row r="39" spans="1:10" ht="17.25" customHeight="1" thickBot="1" x14ac:dyDescent="0.3">
      <c r="A39" s="1"/>
      <c r="B39" s="277"/>
      <c r="C39" s="70" t="s">
        <v>35</v>
      </c>
      <c r="D39" s="140">
        <v>7000</v>
      </c>
      <c r="E39" s="338">
        <v>7000</v>
      </c>
      <c r="F39" s="95">
        <f>3.55073</f>
        <v>3.5507300000000002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thickBot="1" x14ac:dyDescent="0.3">
      <c r="A40" s="1"/>
      <c r="B40" s="277"/>
      <c r="C40" s="70" t="s">
        <v>37</v>
      </c>
      <c r="D40" s="140">
        <v>450</v>
      </c>
      <c r="E40" s="338">
        <v>450</v>
      </c>
      <c r="F40" s="95">
        <f>0.216</f>
        <v>0.216</v>
      </c>
      <c r="G40" s="95">
        <f>387.78666</f>
        <v>387.78665999999998</v>
      </c>
      <c r="H40" s="95">
        <f>E40-G40</f>
        <v>62.213340000000017</v>
      </c>
      <c r="I40" s="95">
        <f>351.5783</f>
        <v>351.57830000000001</v>
      </c>
      <c r="J40" s="267"/>
    </row>
    <row r="41" spans="1:10" ht="14.1" customHeight="1" thickBot="1" x14ac:dyDescent="0.3">
      <c r="A41" s="1"/>
      <c r="B41" s="277"/>
      <c r="C41" s="70" t="s">
        <v>38</v>
      </c>
      <c r="D41" s="140"/>
      <c r="E41" s="136"/>
      <c r="F41" s="136">
        <f>1.598</f>
        <v>1.5980000000000001</v>
      </c>
      <c r="G41" s="136">
        <f>186.81737</f>
        <v>186.81737000000001</v>
      </c>
      <c r="H41" s="136">
        <f t="shared" ref="H41" si="4">E41-G41</f>
        <v>-186.81737000000001</v>
      </c>
      <c r="I41" s="136">
        <f>139.15876</f>
        <v>139.15876</v>
      </c>
      <c r="J41" s="267"/>
    </row>
    <row r="42" spans="1:10" ht="16.5" customHeight="1" thickBot="1" x14ac:dyDescent="0.3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1811.0730099999998</v>
      </c>
      <c r="G42" s="73">
        <f t="shared" si="5"/>
        <v>153566.18680000002</v>
      </c>
      <c r="H42" s="73">
        <f t="shared" si="5"/>
        <v>22057.813199999997</v>
      </c>
      <c r="I42" s="73">
        <f t="shared" si="5"/>
        <v>190480.78234999999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389</v>
      </c>
      <c r="G52" s="10">
        <f>G56+G55+G54+G53</f>
        <v>5720</v>
      </c>
      <c r="H52" s="321">
        <f>E52-G52</f>
        <v>2511</v>
      </c>
      <c r="I52" s="10">
        <f>I56+I55+I54+I53</f>
        <v>5459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>
        <v>171</v>
      </c>
      <c r="G53" s="123">
        <v>1531</v>
      </c>
      <c r="H53" s="322"/>
      <c r="I53" s="123">
        <v>1283</v>
      </c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>
        <v>133</v>
      </c>
      <c r="G54" s="123">
        <v>1701</v>
      </c>
      <c r="H54" s="322"/>
      <c r="I54" s="123">
        <v>1702</v>
      </c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>
        <v>60</v>
      </c>
      <c r="G55" s="123">
        <v>1518</v>
      </c>
      <c r="H55" s="322"/>
      <c r="I55" s="123">
        <v>1344</v>
      </c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>
        <v>25</v>
      </c>
      <c r="G56" s="186">
        <v>970</v>
      </c>
      <c r="H56" s="323"/>
      <c r="I56" s="186">
        <v>1130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75</v>
      </c>
      <c r="G57" s="92">
        <v>1045</v>
      </c>
      <c r="H57" s="92">
        <f>E57-G57</f>
        <v>-85</v>
      </c>
      <c r="I57" s="92">
        <v>760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12</v>
      </c>
      <c r="G58" s="136">
        <v>2212</v>
      </c>
      <c r="H58" s="136">
        <f>E58-G58</f>
        <v>788</v>
      </c>
      <c r="I58" s="136">
        <v>2891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333.86509000000001</v>
      </c>
      <c r="G79" s="10">
        <f t="shared" si="6"/>
        <v>22403.03658</v>
      </c>
      <c r="H79" s="10">
        <f t="shared" si="6"/>
        <v>3718.9634199999982</v>
      </c>
      <c r="I79" s="10">
        <f t="shared" si="6"/>
        <v>24628.686689999999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340">
        <v>25297</v>
      </c>
      <c r="F80" s="22">
        <f>333.86509</f>
        <v>333.86509000000001</v>
      </c>
      <c r="G80" s="22">
        <f>21845.87032</f>
        <v>21845.870320000002</v>
      </c>
      <c r="H80" s="22">
        <f>E80-G80</f>
        <v>3451.1296799999982</v>
      </c>
      <c r="I80" s="22">
        <f>23826.71734</f>
        <v>23826.717339999999</v>
      </c>
      <c r="J80" s="267"/>
    </row>
    <row r="81" spans="1:10" ht="14.1" customHeight="1" thickBot="1" x14ac:dyDescent="0.3">
      <c r="A81" s="1"/>
      <c r="B81" s="277"/>
      <c r="C81" s="62" t="s">
        <v>21</v>
      </c>
      <c r="D81" s="218">
        <v>750</v>
      </c>
      <c r="E81" s="341">
        <v>825</v>
      </c>
      <c r="F81" s="48">
        <f>0</f>
        <v>0</v>
      </c>
      <c r="G81" s="48">
        <f>557.16626</f>
        <v>557.16625999999997</v>
      </c>
      <c r="H81" s="48">
        <f>E81-G81</f>
        <v>267.83374000000003</v>
      </c>
      <c r="I81" s="48">
        <f>801.96935</f>
        <v>801.96934999999996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253.14997</v>
      </c>
      <c r="G82" s="10">
        <f t="shared" si="7"/>
        <v>36421.519560000001</v>
      </c>
      <c r="H82" s="10">
        <f t="shared" si="7"/>
        <v>7688.4804400000003</v>
      </c>
      <c r="I82" s="10">
        <f t="shared" si="7"/>
        <v>42480.8505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187.45033999999998</v>
      </c>
      <c r="G83" s="129">
        <f t="shared" si="8"/>
        <v>28789.298290000002</v>
      </c>
      <c r="H83" s="129">
        <f t="shared" si="8"/>
        <v>3696.7017100000003</v>
      </c>
      <c r="I83" s="129">
        <f t="shared" si="8"/>
        <v>33635.451119999998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344">
        <v>9004</v>
      </c>
      <c r="F84" s="123">
        <f>96.69809</f>
        <v>96.698089999999993</v>
      </c>
      <c r="G84" s="123">
        <f>4500.36202</f>
        <v>4500.3620199999996</v>
      </c>
      <c r="H84" s="123">
        <f t="shared" ref="H84:H91" si="9">E84-G84</f>
        <v>4503.6379800000004</v>
      </c>
      <c r="I84" s="123">
        <f>5845.71708</f>
        <v>5845.7170800000004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344">
        <v>9068</v>
      </c>
      <c r="F85" s="123">
        <f>46.87592</f>
        <v>46.875920000000001</v>
      </c>
      <c r="G85" s="123">
        <f>7641.05606</f>
        <v>7641.0560599999999</v>
      </c>
      <c r="H85" s="123">
        <f t="shared" si="9"/>
        <v>1426.9439400000001</v>
      </c>
      <c r="I85" s="123">
        <f>10657.74685</f>
        <v>10657.74685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344">
        <v>8642</v>
      </c>
      <c r="F86" s="123">
        <f>32.64505</f>
        <v>32.645049999999998</v>
      </c>
      <c r="G86" s="123">
        <f>8574.13587</f>
        <v>8574.1358700000001</v>
      </c>
      <c r="H86" s="123">
        <f t="shared" si="9"/>
        <v>67.864129999999932</v>
      </c>
      <c r="I86" s="123">
        <f>10076.73252</f>
        <v>10076.73252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344">
        <v>5772</v>
      </c>
      <c r="F87" s="123">
        <f>11.23128</f>
        <v>11.23128</v>
      </c>
      <c r="G87" s="123">
        <f>8073.74434</f>
        <v>8073.7443400000002</v>
      </c>
      <c r="H87" s="123">
        <f t="shared" si="9"/>
        <v>-2301.7443400000002</v>
      </c>
      <c r="I87" s="123">
        <f>7055.25467</f>
        <v>7055.2546700000003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342">
        <v>8117</v>
      </c>
      <c r="F88" s="129">
        <f>0.08436</f>
        <v>8.4360000000000004E-2</v>
      </c>
      <c r="G88" s="129">
        <f>5230.38534</f>
        <v>5230.3853399999998</v>
      </c>
      <c r="H88" s="129">
        <f t="shared" si="9"/>
        <v>2886.6146600000002</v>
      </c>
      <c r="I88" s="129">
        <f>6128.01043</f>
        <v>6128.0104300000003</v>
      </c>
      <c r="J88" s="267"/>
    </row>
    <row r="89" spans="1:10" ht="15.75" customHeight="1" thickBot="1" x14ac:dyDescent="0.3">
      <c r="A89" s="1"/>
      <c r="B89" s="51"/>
      <c r="C89" s="37" t="s">
        <v>11</v>
      </c>
      <c r="D89" s="59">
        <v>3158</v>
      </c>
      <c r="E89" s="343">
        <v>3507</v>
      </c>
      <c r="F89" s="72">
        <f>65.61527</f>
        <v>65.615269999999995</v>
      </c>
      <c r="G89" s="72">
        <f>2401.83593</f>
        <v>2401.8359300000002</v>
      </c>
      <c r="H89" s="72">
        <f t="shared" si="9"/>
        <v>1105.1640699999998</v>
      </c>
      <c r="I89" s="72">
        <f>2717.38895</f>
        <v>2717.38895</v>
      </c>
      <c r="J89" s="267"/>
    </row>
    <row r="90" spans="1:10" ht="15.75" customHeight="1" thickBot="1" x14ac:dyDescent="0.3">
      <c r="A90" s="1"/>
      <c r="B90" s="51"/>
      <c r="C90" s="70" t="s">
        <v>33</v>
      </c>
      <c r="D90" s="86">
        <v>319</v>
      </c>
      <c r="E90" s="345">
        <v>319</v>
      </c>
      <c r="F90" s="95">
        <f>0.06954</f>
        <v>6.9540000000000005E-2</v>
      </c>
      <c r="G90" s="95">
        <f>38.0697</f>
        <v>38.069699999999997</v>
      </c>
      <c r="H90" s="95">
        <f t="shared" si="9"/>
        <v>280.93029999999999</v>
      </c>
      <c r="I90" s="95">
        <f>36.52394</f>
        <v>36.523940000000003</v>
      </c>
      <c r="J90" s="267"/>
    </row>
    <row r="91" spans="1:10" ht="18" customHeight="1" thickBot="1" x14ac:dyDescent="0.3">
      <c r="A91" s="1"/>
      <c r="B91" s="277"/>
      <c r="C91" s="70" t="s">
        <v>51</v>
      </c>
      <c r="D91" s="140">
        <v>300</v>
      </c>
      <c r="E91" s="346">
        <v>300</v>
      </c>
      <c r="F91" s="136">
        <f>0.17538</f>
        <v>0.17538000000000001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thickBot="1" x14ac:dyDescent="0.3">
      <c r="A92" s="1"/>
      <c r="B92" s="277"/>
      <c r="C92" s="89" t="s">
        <v>37</v>
      </c>
      <c r="D92" s="140">
        <v>50</v>
      </c>
      <c r="E92" s="346">
        <v>50</v>
      </c>
      <c r="F92" s="95">
        <f>0</f>
        <v>0</v>
      </c>
      <c r="G92" s="95">
        <f>15.3273</f>
        <v>15.327299999999999</v>
      </c>
      <c r="H92" s="136">
        <f>E92-G92</f>
        <v>34.672699999999999</v>
      </c>
      <c r="I92" s="95">
        <f>53.8165</f>
        <v>53.816499999999998</v>
      </c>
      <c r="J92" s="267"/>
    </row>
    <row r="93" spans="1:10" ht="18" customHeight="1" thickBot="1" x14ac:dyDescent="0.3">
      <c r="A93" s="1"/>
      <c r="B93" s="277"/>
      <c r="C93" s="89" t="s">
        <v>52</v>
      </c>
      <c r="D93" s="140"/>
      <c r="E93" s="136"/>
      <c r="F93" s="136">
        <f>0.049</f>
        <v>4.9000000000000002E-2</v>
      </c>
      <c r="G93" s="136">
        <f>40.73824</f>
        <v>40.738239999999998</v>
      </c>
      <c r="H93" s="136">
        <f t="shared" ref="H93" si="10">E93-G93</f>
        <v>-40.738239999999998</v>
      </c>
      <c r="I93" s="136">
        <f>49.02992</f>
        <v>49.029919999999997</v>
      </c>
      <c r="J93" s="267"/>
    </row>
    <row r="94" spans="1:10" ht="16.5" customHeight="1" thickBot="1" x14ac:dyDescent="0.3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587.30897999999991</v>
      </c>
      <c r="G94" s="73">
        <f t="shared" si="12"/>
        <v>59218.691379999997</v>
      </c>
      <c r="H94" s="73">
        <f t="shared" si="12"/>
        <v>11682.308619999998</v>
      </c>
      <c r="I94" s="73">
        <f t="shared" si="12"/>
        <v>67548.907550000004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615.18881999999996</v>
      </c>
      <c r="G115" s="10">
        <f t="shared" si="13"/>
        <v>44650.719149999997</v>
      </c>
      <c r="H115" s="10">
        <f t="shared" si="13"/>
        <v>26364.280850000003</v>
      </c>
      <c r="I115" s="10">
        <f t="shared" si="13"/>
        <v>57928.516459999999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615.18882</f>
        <v>615.18881999999996</v>
      </c>
      <c r="G116" s="22">
        <f>39953.35887</f>
        <v>39953.358869999996</v>
      </c>
      <c r="H116" s="22">
        <f>E116-G116</f>
        <v>16496.641130000004</v>
      </c>
      <c r="I116" s="22">
        <f>51668.38177</f>
        <v>51668.38177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4608.27968</f>
        <v>4608.2796799999996</v>
      </c>
      <c r="H117" s="22">
        <f>E117-G117</f>
        <v>9456.7203200000004</v>
      </c>
      <c r="I117" s="22">
        <f>6183.62054</f>
        <v>6183.6205399999999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5.412</f>
        <v>5.4119999999999999</v>
      </c>
      <c r="G119" s="92">
        <f>30135.3517+3879.4234</f>
        <v>34014.775099999999</v>
      </c>
      <c r="H119" s="92">
        <f>E119-G119</f>
        <v>17415.224900000001</v>
      </c>
      <c r="I119" s="92">
        <f>16539.9598</f>
        <v>16539.959800000001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648.57467999999994</v>
      </c>
      <c r="G120" s="91">
        <f t="shared" ref="G120" si="14">G121+G126+G129</f>
        <v>46595.394909999995</v>
      </c>
      <c r="H120" s="91">
        <f>H121+H126+H129</f>
        <v>28449.605090000001</v>
      </c>
      <c r="I120" s="91">
        <f>I121+I126+I129</f>
        <v>70681.021420000005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554.43020000000001</v>
      </c>
      <c r="G121" s="121">
        <f>G122+G123+G125+G124</f>
        <v>34598.52463</v>
      </c>
      <c r="H121" s="121">
        <f>H122+H123+H124+H125</f>
        <v>21760.47537</v>
      </c>
      <c r="I121" s="121">
        <f>I122+I123+I124+I125</f>
        <v>55217.967400000001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184.41402</f>
        <v>184.41401999999999</v>
      </c>
      <c r="G122" s="123">
        <f>8875.40056</f>
        <v>8875.40056</v>
      </c>
      <c r="H122" s="123">
        <f>E122-G122</f>
        <v>7140.59944</v>
      </c>
      <c r="I122" s="123">
        <f>11020.57568</f>
        <v>11020.57568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177.81473</f>
        <v>177.81473</v>
      </c>
      <c r="G123" s="123">
        <f>9719.31786-207.1734</f>
        <v>9512.1444599999995</v>
      </c>
      <c r="H123" s="123">
        <f>E123-G123</f>
        <v>5341.8555400000005</v>
      </c>
      <c r="I123" s="123">
        <f>14127.50858</f>
        <v>14127.50858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78.15945</f>
        <v>78.159450000000007</v>
      </c>
      <c r="G124" s="123">
        <f>9280.3286-789.0225</f>
        <v>8491.3061000000016</v>
      </c>
      <c r="H124" s="123">
        <f>E124-G124</f>
        <v>4380.6938999999984</v>
      </c>
      <c r="I124" s="123">
        <f>14521.21859</f>
        <v>14521.21859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114.042</f>
        <v>114.042</v>
      </c>
      <c r="G125" s="123">
        <f>10602.90101-2883.2275</f>
        <v>7719.6735099999996</v>
      </c>
      <c r="H125" s="123">
        <f>E125-G125</f>
        <v>4897.3264900000004</v>
      </c>
      <c r="I125" s="123">
        <f>15548.66455</f>
        <v>15548.66455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5.31</v>
      </c>
      <c r="G126" s="129">
        <f>SUM(G127:G128)</f>
        <v>6296.9177</v>
      </c>
      <c r="H126" s="129">
        <f>H127+H128</f>
        <v>1445.0823</v>
      </c>
      <c r="I126" s="129">
        <f>SUM(I127:I128)</f>
        <v>8986.0133100000003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6100.70918</f>
        <v>6100.7091799999998</v>
      </c>
      <c r="H127" s="123">
        <f t="shared" ref="H127:H135" si="15">E127-G127</f>
        <v>1141.2908200000002</v>
      </c>
      <c r="I127" s="123">
        <f>8530.06244</f>
        <v>8530.0624399999997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5.31</f>
        <v>5.31</v>
      </c>
      <c r="G128" s="123">
        <f>196.20852</f>
        <v>196.20851999999999</v>
      </c>
      <c r="H128" s="123">
        <f t="shared" si="15"/>
        <v>303.79147999999998</v>
      </c>
      <c r="I128" s="123">
        <f>455.95087</f>
        <v>455.95087000000001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88.83448</f>
        <v>88.834479999999999</v>
      </c>
      <c r="G129" s="72">
        <f>5699.95258</f>
        <v>5699.9525800000001</v>
      </c>
      <c r="H129" s="72">
        <f t="shared" si="15"/>
        <v>5244.0474199999999</v>
      </c>
      <c r="I129" s="72">
        <f>6477.04071</f>
        <v>6477.0407100000002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0.00675</f>
        <v>6.7499999999999999E-3</v>
      </c>
      <c r="G130" s="136">
        <f>18.43258</f>
        <v>18.432580000000002</v>
      </c>
      <c r="H130" s="136">
        <f t="shared" si="15"/>
        <v>127.56742</v>
      </c>
      <c r="I130" s="136">
        <f>16.40105</f>
        <v>16.401050000000001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0.44731</f>
        <v>0.44730999999999999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0.184</f>
        <v>0.184</v>
      </c>
      <c r="G134" s="95">
        <f>90.704</f>
        <v>90.703999999999994</v>
      </c>
      <c r="H134" s="136">
        <f t="shared" si="15"/>
        <v>222.29599999999999</v>
      </c>
      <c r="I134" s="95">
        <f>72.45681</f>
        <v>72.456810000000004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7.782</f>
        <v>7.782</v>
      </c>
      <c r="G135" s="136">
        <f>274.10959</f>
        <v>274.10959000000003</v>
      </c>
      <c r="H135" s="136">
        <f t="shared" si="15"/>
        <v>-274.10959000000003</v>
      </c>
      <c r="I135" s="136">
        <f>283.53524</f>
        <v>283.53523999999999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1277.5955599999998</v>
      </c>
      <c r="G137" s="73">
        <f>G115+G119+G120+G130+G131+G132+G133+G134+G135</f>
        <v>127645.50332999998</v>
      </c>
      <c r="H137" s="73">
        <f>H115+H119+H120+H130+H131+H132+H133+H134+H135</f>
        <v>72653.496670000022</v>
      </c>
      <c r="I137" s="73">
        <f>I115+I119+I120+I130+I131+I132+I133+I134+I135</f>
        <v>147777.92677999998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30.2481</f>
        <v>30.248100000000001</v>
      </c>
      <c r="F160" s="297">
        <f>1272.18762</f>
        <v>1272.1876199999999</v>
      </c>
      <c r="G160" s="42">
        <f>D160-F160-F161</f>
        <v>1101.4845900000003</v>
      </c>
      <c r="H160" s="297">
        <f>1381.4922</f>
        <v>1381.4921999999999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1388.32779</f>
        <v>1388.32779</v>
      </c>
      <c r="G161" s="219"/>
      <c r="H161" s="148">
        <f>1630.7793</f>
        <v>1630.7792999999999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0.08856</f>
        <v>8.856E-2</v>
      </c>
      <c r="F162" s="166">
        <f>87.59174</f>
        <v>87.591740000000001</v>
      </c>
      <c r="G162" s="166">
        <f>D162-F162</f>
        <v>112.40826</v>
      </c>
      <c r="H162" s="166">
        <f>117.20527</f>
        <v>117.20527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5.1397700000000004</v>
      </c>
      <c r="F163" s="175">
        <f>F164+F165+F166</f>
        <v>5466.29979</v>
      </c>
      <c r="G163" s="175">
        <f>D163-F163</f>
        <v>175.70020999999997</v>
      </c>
      <c r="H163" s="175">
        <f>H164+H165+H166</f>
        <v>5994.1866899999995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0.86672</f>
        <v>0.86672000000000005</v>
      </c>
      <c r="F164" s="123">
        <f>3077.16866</f>
        <v>3077.1686599999998</v>
      </c>
      <c r="G164" s="123"/>
      <c r="H164" s="123">
        <f>3092.33051</f>
        <v>3092.3305099999998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3.53282</f>
        <v>3.5328200000000001</v>
      </c>
      <c r="F165" s="123">
        <f>1597.26812</f>
        <v>1597.26812</v>
      </c>
      <c r="G165" s="123"/>
      <c r="H165" s="123">
        <f>1830.79551</f>
        <v>1830.7955099999999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0.74023</f>
        <v>0.74023000000000005</v>
      </c>
      <c r="F166" s="186">
        <f>791.86301</f>
        <v>791.86301000000003</v>
      </c>
      <c r="G166" s="186"/>
      <c r="H166" s="186">
        <f>1071.06067</f>
        <v>1071.0606700000001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35.476430000000001</v>
      </c>
      <c r="F169" s="188">
        <f>F160+F161+F162+F163+F167+F168</f>
        <v>8219.760040000001</v>
      </c>
      <c r="G169" s="188">
        <f>D169-F169</f>
        <v>1455.239959999999</v>
      </c>
      <c r="H169" s="188">
        <f>H160+H161+H162+H163+H167+H168</f>
        <v>9123.6634599999998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106.83484</f>
        <v>106.83484</v>
      </c>
      <c r="G189" s="124">
        <f>45172.13833</f>
        <v>45172.138330000002</v>
      </c>
      <c r="H189" s="124">
        <f>E189-G189</f>
        <v>-1837.1383300000016</v>
      </c>
      <c r="I189" s="124">
        <f>43363.45098</f>
        <v>43363.450980000001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0.2593</f>
        <v>0.25929999999999997</v>
      </c>
      <c r="G190" s="124">
        <f>39.67144</f>
        <v>39.671439999999997</v>
      </c>
      <c r="H190" s="124">
        <f>E190-G190</f>
        <v>60.328560000000003</v>
      </c>
      <c r="I190" s="124">
        <f>42.77219</f>
        <v>42.772190000000002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107.09414</v>
      </c>
      <c r="G192" s="190">
        <f>SUM(G189:G191)</f>
        <v>45211.80977</v>
      </c>
      <c r="H192" s="190">
        <f>E192-G192</f>
        <v>-1740.8097699999998</v>
      </c>
      <c r="I192" s="190">
        <f>SUM(I189:I191)</f>
        <v>43406.223170000005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10.244900000000001</v>
      </c>
      <c r="F202" s="72">
        <f>F203+F204</f>
        <v>3932.94263</v>
      </c>
      <c r="G202" s="72">
        <f>D202-F202</f>
        <v>54.057369999999992</v>
      </c>
      <c r="H202" s="72">
        <f>H203+H204</f>
        <v>4313.6647400000002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4.8468</f>
        <v>4.8468</v>
      </c>
      <c r="F203" s="72">
        <f>3166.13099</f>
        <v>3166.1309900000001</v>
      </c>
      <c r="G203" s="72"/>
      <c r="H203" s="72">
        <f>3660.25353</f>
        <v>3660.25353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5.3981</f>
        <v>5.3981000000000003</v>
      </c>
      <c r="F204" s="124">
        <f>766.81164</f>
        <v>766.81164000000001</v>
      </c>
      <c r="G204" s="168"/>
      <c r="H204" s="124">
        <f>653.41121</f>
        <v>653.41120999999998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31.08852</f>
        <v>31.088519999999999</v>
      </c>
      <c r="F205" s="72">
        <f>4796.04343</f>
        <v>4796.0434299999997</v>
      </c>
      <c r="G205" s="72">
        <f>D205-F205</f>
        <v>-183.04342999999972</v>
      </c>
      <c r="H205" s="72">
        <f>5464.0617</f>
        <v>5464.0617000000002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41.333420000000004</v>
      </c>
      <c r="F206" s="190">
        <f>SUM(F202,F205)</f>
        <v>8728.9860599999993</v>
      </c>
      <c r="G206" s="190">
        <f>D206-F206</f>
        <v>-128.98605999999927</v>
      </c>
      <c r="H206" s="190">
        <f>SUM(H202,H205)</f>
        <v>9777.7264400000004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7.2998000000000003</v>
      </c>
      <c r="F215" s="72">
        <f>F216+F217</f>
        <v>5390.5543099999995</v>
      </c>
      <c r="G215" s="72">
        <f>D215-F215</f>
        <v>-300.55430999999953</v>
      </c>
      <c r="H215" s="72">
        <f>H216+H217</f>
        <v>5417.6856899999993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0.2244</f>
        <v>0.22439999999999999</v>
      </c>
      <c r="F216" s="72">
        <f>4991.33875</f>
        <v>4991.3387499999999</v>
      </c>
      <c r="G216" s="72"/>
      <c r="H216" s="72">
        <f>4866.91498</f>
        <v>4866.9149799999996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7.0754</f>
        <v>7.0754000000000001</v>
      </c>
      <c r="F217" s="124">
        <f>399.21556</f>
        <v>399.21555999999998</v>
      </c>
      <c r="G217" s="168"/>
      <c r="H217" s="124">
        <f>550.77071</f>
        <v>550.77071000000001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110.78254</f>
        <v>110.78254</v>
      </c>
      <c r="F218" s="72">
        <f>2972.73323</f>
        <v>2972.7332299999998</v>
      </c>
      <c r="G218" s="72">
        <f>D218-F218</f>
        <v>8.2667700000001787</v>
      </c>
      <c r="H218" s="72">
        <f>3148.30883</f>
        <v>3148.3088299999999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118.08234</v>
      </c>
      <c r="F219" s="190">
        <f>SUM(F215,F218)</f>
        <v>8363.2875399999994</v>
      </c>
      <c r="G219" s="190">
        <f>D219-F219</f>
        <v>-292.28753999999935</v>
      </c>
      <c r="H219" s="190">
        <f>SUM(H215,H218)</f>
        <v>8565.9945200000002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5.41418</f>
        <v>5.41418</v>
      </c>
      <c r="F237" s="124">
        <f>595.07901</f>
        <v>595.07901000000004</v>
      </c>
      <c r="G237" s="124">
        <f>D237-F237</f>
        <v>204.92098999999996</v>
      </c>
      <c r="H237" s="124">
        <f>661.98263</f>
        <v>661.98262999999997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10.47025</f>
        <v>10.47025</v>
      </c>
      <c r="F238" s="124">
        <f>1476.62588</f>
        <v>1476.6258800000001</v>
      </c>
      <c r="G238" s="124">
        <f>D238-F238</f>
        <v>716.37411999999995</v>
      </c>
      <c r="H238" s="124">
        <f>2498.31136</f>
        <v>2498.3113600000001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2.52716</f>
        <v>2.5271599999999999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15.88443</v>
      </c>
      <c r="F241" s="190">
        <f>SUM(F237:F240)</f>
        <v>2078.0274199999999</v>
      </c>
      <c r="G241" s="190">
        <f>D241-F241</f>
        <v>924.97258000000011</v>
      </c>
      <c r="H241" s="190">
        <f>H237+H238+H239+H240</f>
        <v>3166.6077700000001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80.178300000000007</v>
      </c>
      <c r="G262" s="276">
        <f t="shared" si="17"/>
        <v>25571.691589999999</v>
      </c>
      <c r="H262" s="276">
        <f>H266+H265+H264+H263</f>
        <v>2164.308410000001</v>
      </c>
      <c r="I262" s="276">
        <f t="shared" si="17"/>
        <v>20112.804390000001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32.3433</f>
        <v>32.343299999999999</v>
      </c>
      <c r="G263" s="280">
        <f>17561.20957</f>
        <v>17561.209569999999</v>
      </c>
      <c r="H263" s="280">
        <f t="shared" ref="H263:H267" si="18">E263-G263</f>
        <v>-891.20956999999908</v>
      </c>
      <c r="I263" s="280">
        <f>13098.60783</f>
        <v>13098.607830000001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3098.57703</f>
        <v>3098.5770299999999</v>
      </c>
      <c r="H264" s="280">
        <f>E264-G264</f>
        <v>1240.4229700000001</v>
      </c>
      <c r="I264" s="280">
        <f>2382.55392</f>
        <v>2382.5539199999998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35.9514</f>
        <v>35.9514</v>
      </c>
      <c r="G265" s="280">
        <f>1740.3458</f>
        <v>1740.3458000000001</v>
      </c>
      <c r="H265" s="280">
        <f t="shared" si="18"/>
        <v>-169.34580000000005</v>
      </c>
      <c r="I265" s="280">
        <f>2101.15413</f>
        <v>2101.1541299999999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11.8836</f>
        <v>11.883599999999999</v>
      </c>
      <c r="G266" s="280">
        <f>3171.55919</f>
        <v>3171.5591899999999</v>
      </c>
      <c r="H266" s="280">
        <f t="shared" si="18"/>
        <v>1984.4408100000001</v>
      </c>
      <c r="I266" s="280">
        <f>2530.48851</f>
        <v>2530.4885100000001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36.585</f>
        <v>36.585000000000001</v>
      </c>
      <c r="G267" s="290">
        <f>4149.84724</f>
        <v>4149.8472400000001</v>
      </c>
      <c r="H267" s="290">
        <f t="shared" si="18"/>
        <v>1350.1527599999999</v>
      </c>
      <c r="I267" s="290">
        <f>2166.02178</f>
        <v>2166.02178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98.321330000000003</v>
      </c>
      <c r="G268" s="291">
        <f>G270+G269</f>
        <v>3605.03658</v>
      </c>
      <c r="H268" s="291">
        <f>E268-G268</f>
        <v>4394.96342</v>
      </c>
      <c r="I268" s="291">
        <f>I270+I269</f>
        <v>4039.8825799999995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543.14094</f>
        <v>543.14094</v>
      </c>
      <c r="H269" s="280"/>
      <c r="I269" s="280">
        <f>1065.82857</f>
        <v>1065.8285699999999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98.32133</f>
        <v>98.321330000000003</v>
      </c>
      <c r="G270" s="299">
        <f>3061.89564</f>
        <v>3061.8956400000002</v>
      </c>
      <c r="H270" s="299"/>
      <c r="I270" s="299">
        <f>2974.05401</f>
        <v>2974.0540099999998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0.1565</f>
        <v>0.1565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0.27564</f>
        <v>0.27564</v>
      </c>
      <c r="G272" s="290">
        <f>183.08813</f>
        <v>183.08813000000001</v>
      </c>
      <c r="H272" s="290">
        <f>E272-G272</f>
        <v>-183.08813000000001</v>
      </c>
      <c r="I272" s="290">
        <f>125.74797</f>
        <v>125.74797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215.36027000000001</v>
      </c>
      <c r="G273" s="308">
        <f t="shared" si="19"/>
        <v>33510.232039999995</v>
      </c>
      <c r="H273" s="308">
        <f>H262+H267+H268+H271+H272</f>
        <v>7738.7679600000001</v>
      </c>
      <c r="I273" s="308">
        <f t="shared" si="19"/>
        <v>26444.613219999999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924.85643000000005</v>
      </c>
      <c r="G294" s="82">
        <f>D294-F294</f>
        <v>-145.85643000000005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683.99675</f>
        <v>683.99675000000002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240.85968</f>
        <v>240.85968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53.738500000000002</v>
      </c>
      <c r="F297" s="25">
        <f>SUM(F298:F299)</f>
        <v>100.4379</v>
      </c>
      <c r="G297" s="82">
        <f>D297-F297</f>
        <v>678.56209999999999</v>
      </c>
      <c r="H297" s="25">
        <f>SUM(H298:H299)</f>
        <v>137.25139999999999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45.8185</f>
        <v>45.8185</v>
      </c>
      <c r="F298" s="29">
        <f>84.6728</f>
        <v>84.672799999999995</v>
      </c>
      <c r="G298" s="94"/>
      <c r="H298" s="29">
        <f>90.942</f>
        <v>90.941999999999993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7.92</f>
        <v>7.92</v>
      </c>
      <c r="F299" s="29">
        <f>15.7651</f>
        <v>15.7651</v>
      </c>
      <c r="G299" s="105"/>
      <c r="H299" s="29">
        <f>46.3094</f>
        <v>46.309399999999997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53.738500000000002</v>
      </c>
      <c r="F304" s="39">
        <f>F294+F297+F300+F303</f>
        <v>1025.2943299999999</v>
      </c>
      <c r="G304" s="40">
        <f>D304-F304</f>
        <v>1312.7056700000001</v>
      </c>
      <c r="H304" s="39">
        <f>H294+H297+H300+H303</f>
        <v>1160.4572800000001</v>
      </c>
      <c r="I304" s="26"/>
      <c r="J304" s="127"/>
    </row>
    <row r="305" spans="1:10" ht="42" customHeight="1" x14ac:dyDescent="0.2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2.06113</f>
        <v>2.0611299999999999</v>
      </c>
      <c r="F322" s="29">
        <f>1045.99569</f>
        <v>1045.99569</v>
      </c>
      <c r="G322" s="238">
        <f>D322-F322</f>
        <v>-797.99568999999997</v>
      </c>
      <c r="H322" s="29">
        <f>666.2356</f>
        <v>666.23559999999998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27.56686</f>
        <v>27.566859999999998</v>
      </c>
      <c r="F323" s="29">
        <f>2011.44505</f>
        <v>2011.44505</v>
      </c>
      <c r="G323" s="241">
        <f>D323-F323</f>
        <v>20036.554950000002</v>
      </c>
      <c r="H323" s="29">
        <f>2256.9022</f>
        <v>2256.9022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29.627989999999997</v>
      </c>
      <c r="F324" s="39">
        <f>F323+F322</f>
        <v>3057.44074</v>
      </c>
      <c r="G324" s="39">
        <f>G323+G322</f>
        <v>19238.559260000002</v>
      </c>
      <c r="H324" s="39">
        <f>H323+H322</f>
        <v>2923.1378</v>
      </c>
      <c r="I324" s="26"/>
      <c r="J324" s="127"/>
    </row>
    <row r="325" spans="1:10" ht="22.5" customHeight="1" x14ac:dyDescent="0.2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46&amp;R17.11.2025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2025-11-18T12:03:02Z</dcterms:modified>
</cp:coreProperties>
</file>