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8E33BC0C-FBC6-4B7C-A66D-309A7DBE07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/>
  <c r="F419" i="1"/>
  <c r="E419" i="1"/>
  <c r="H418" i="1"/>
  <c r="F418" i="1"/>
  <c r="E418" i="1"/>
  <c r="H417" i="1"/>
  <c r="F417" i="1"/>
  <c r="E417" i="1"/>
  <c r="H416" i="1"/>
  <c r="F416" i="1"/>
  <c r="E416" i="1"/>
  <c r="H415" i="1"/>
  <c r="F415" i="1"/>
  <c r="E415" i="1"/>
  <c r="E414" i="1" s="1"/>
  <c r="H414" i="1"/>
  <c r="F414" i="1"/>
  <c r="H413" i="1"/>
  <c r="F413" i="1"/>
  <c r="E413" i="1"/>
  <c r="E411" i="1" s="1"/>
  <c r="E421" i="1" s="1"/>
  <c r="H412" i="1"/>
  <c r="F412" i="1"/>
  <c r="E412" i="1"/>
  <c r="H411" i="1"/>
  <c r="H421" i="1" s="1"/>
  <c r="F411" i="1"/>
  <c r="F421" i="1" s="1"/>
  <c r="E389" i="1"/>
  <c r="D389" i="1"/>
  <c r="I388" i="1"/>
  <c r="G388" i="1"/>
  <c r="H388" i="1" s="1"/>
  <c r="F388" i="1"/>
  <c r="I387" i="1"/>
  <c r="G387" i="1"/>
  <c r="H387" i="1" s="1"/>
  <c r="F387" i="1"/>
  <c r="I386" i="1"/>
  <c r="I384" i="1" s="1"/>
  <c r="G386" i="1"/>
  <c r="F386" i="1"/>
  <c r="F384" i="1" s="1"/>
  <c r="I385" i="1"/>
  <c r="G385" i="1"/>
  <c r="F385" i="1"/>
  <c r="G384" i="1"/>
  <c r="H384" i="1" s="1"/>
  <c r="I383" i="1"/>
  <c r="H383" i="1"/>
  <c r="G383" i="1"/>
  <c r="F383" i="1"/>
  <c r="I382" i="1"/>
  <c r="G382" i="1"/>
  <c r="H382" i="1" s="1"/>
  <c r="H378" i="1" s="1"/>
  <c r="H389" i="1" s="1"/>
  <c r="F382" i="1"/>
  <c r="I381" i="1"/>
  <c r="H381" i="1"/>
  <c r="G381" i="1"/>
  <c r="F381" i="1"/>
  <c r="F378" i="1" s="1"/>
  <c r="I380" i="1"/>
  <c r="G380" i="1"/>
  <c r="H380" i="1" s="1"/>
  <c r="F380" i="1"/>
  <c r="I379" i="1"/>
  <c r="H379" i="1"/>
  <c r="G379" i="1"/>
  <c r="F379" i="1"/>
  <c r="I378" i="1"/>
  <c r="G378" i="1"/>
  <c r="G389" i="1" s="1"/>
  <c r="E378" i="1"/>
  <c r="D378" i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H352" i="1" s="1"/>
  <c r="F348" i="1"/>
  <c r="G348" i="1" s="1"/>
  <c r="E348" i="1"/>
  <c r="E352" i="1" s="1"/>
  <c r="D341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E297" i="1" s="1"/>
  <c r="E252" i="1"/>
  <c r="H251" i="1"/>
  <c r="F251" i="1"/>
  <c r="E251" i="1"/>
  <c r="H250" i="1"/>
  <c r="F250" i="1"/>
  <c r="E250" i="1"/>
  <c r="H249" i="1"/>
  <c r="H252" i="1" s="1"/>
  <c r="F249" i="1"/>
  <c r="F252" i="1" s="1"/>
  <c r="G252" i="1" s="1"/>
  <c r="E249" i="1"/>
  <c r="D207" i="1"/>
  <c r="G207" i="1" s="1"/>
  <c r="G206" i="1"/>
  <c r="H205" i="1"/>
  <c r="F205" i="1"/>
  <c r="G205" i="1" s="1"/>
  <c r="E205" i="1"/>
  <c r="H204" i="1"/>
  <c r="H207" i="1" s="1"/>
  <c r="F204" i="1"/>
  <c r="F207" i="1" s="1"/>
  <c r="E204" i="1"/>
  <c r="E207" i="1" s="1"/>
  <c r="D184" i="1"/>
  <c r="G184" i="1" s="1"/>
  <c r="H182" i="1"/>
  <c r="F182" i="1"/>
  <c r="G182" i="1" s="1"/>
  <c r="E182" i="1"/>
  <c r="H181" i="1"/>
  <c r="F181" i="1"/>
  <c r="E181" i="1"/>
  <c r="H180" i="1"/>
  <c r="F180" i="1"/>
  <c r="E180" i="1"/>
  <c r="E178" i="1" s="1"/>
  <c r="H179" i="1"/>
  <c r="H178" i="1" s="1"/>
  <c r="H184" i="1" s="1"/>
  <c r="F179" i="1"/>
  <c r="F178" i="1" s="1"/>
  <c r="G178" i="1" s="1"/>
  <c r="E179" i="1"/>
  <c r="H177" i="1"/>
  <c r="F177" i="1"/>
  <c r="G177" i="1" s="1"/>
  <c r="E177" i="1"/>
  <c r="H176" i="1"/>
  <c r="F176" i="1"/>
  <c r="E176" i="1"/>
  <c r="H175" i="1"/>
  <c r="F175" i="1"/>
  <c r="F184" i="1" s="1"/>
  <c r="E175" i="1"/>
  <c r="D150" i="1"/>
  <c r="H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G139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G134" i="1"/>
  <c r="G133" i="1" s="1"/>
  <c r="E134" i="1"/>
  <c r="E133" i="1"/>
  <c r="E150" i="1" s="1"/>
  <c r="I132" i="1"/>
  <c r="H132" i="1"/>
  <c r="F132" i="1"/>
  <c r="H131" i="1"/>
  <c r="I130" i="1"/>
  <c r="G130" i="1"/>
  <c r="G128" i="1" s="1"/>
  <c r="F130" i="1"/>
  <c r="I129" i="1"/>
  <c r="H129" i="1"/>
  <c r="G129" i="1"/>
  <c r="F129" i="1"/>
  <c r="I128" i="1"/>
  <c r="F128" i="1"/>
  <c r="F150" i="1" s="1"/>
  <c r="E128" i="1"/>
  <c r="C126" i="1"/>
  <c r="H106" i="1"/>
  <c r="H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I96" i="1" s="1"/>
  <c r="I95" i="1" s="1"/>
  <c r="H97" i="1"/>
  <c r="H96" i="1" s="1"/>
  <c r="H95" i="1" s="1"/>
  <c r="G97" i="1"/>
  <c r="F97" i="1"/>
  <c r="F96" i="1" s="1"/>
  <c r="F95" i="1" s="1"/>
  <c r="G96" i="1"/>
  <c r="G95" i="1" s="1"/>
  <c r="E96" i="1"/>
  <c r="E95" i="1" s="1"/>
  <c r="E107" i="1" s="1"/>
  <c r="D96" i="1"/>
  <c r="D95" i="1" s="1"/>
  <c r="D107" i="1" s="1"/>
  <c r="I94" i="1"/>
  <c r="H94" i="1"/>
  <c r="G94" i="1"/>
  <c r="F94" i="1"/>
  <c r="I93" i="1"/>
  <c r="H93" i="1"/>
  <c r="G93" i="1"/>
  <c r="G92" i="1" s="1"/>
  <c r="F93" i="1"/>
  <c r="I92" i="1"/>
  <c r="H92" i="1"/>
  <c r="F92" i="1"/>
  <c r="E92" i="1"/>
  <c r="C89" i="1"/>
  <c r="H85" i="1"/>
  <c r="F85" i="1"/>
  <c r="D85" i="1"/>
  <c r="G61" i="1"/>
  <c r="G60" i="1"/>
  <c r="F55" i="1"/>
  <c r="G32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F34" i="1" s="1"/>
  <c r="I35" i="1"/>
  <c r="G35" i="1"/>
  <c r="F35" i="1"/>
  <c r="I34" i="1"/>
  <c r="I33" i="1"/>
  <c r="H33" i="1"/>
  <c r="G33" i="1"/>
  <c r="F33" i="1"/>
  <c r="I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I27" i="1" s="1"/>
  <c r="G28" i="1"/>
  <c r="H28" i="1" s="1"/>
  <c r="F28" i="1"/>
  <c r="I25" i="1"/>
  <c r="H25" i="1"/>
  <c r="G25" i="1"/>
  <c r="F25" i="1"/>
  <c r="I24" i="1"/>
  <c r="I23" i="1" s="1"/>
  <c r="H24" i="1"/>
  <c r="H23" i="1" s="1"/>
  <c r="G24" i="1"/>
  <c r="F24" i="1"/>
  <c r="F23" i="1" s="1"/>
  <c r="G23" i="1"/>
  <c r="H16" i="1"/>
  <c r="F16" i="1"/>
  <c r="D16" i="1"/>
  <c r="G150" i="1" l="1"/>
  <c r="H107" i="1"/>
  <c r="F27" i="1"/>
  <c r="F26" i="1" s="1"/>
  <c r="F44" i="1" s="1"/>
  <c r="G34" i="1"/>
  <c r="H35" i="1"/>
  <c r="H32" i="1"/>
  <c r="H27" i="1" s="1"/>
  <c r="G27" i="1"/>
  <c r="I26" i="1"/>
  <c r="I44" i="1" s="1"/>
  <c r="F107" i="1"/>
  <c r="E184" i="1"/>
  <c r="I150" i="1"/>
  <c r="H34" i="1"/>
  <c r="I107" i="1"/>
  <c r="G107" i="1"/>
  <c r="H134" i="1"/>
  <c r="I389" i="1"/>
  <c r="F389" i="1"/>
  <c r="H130" i="1"/>
  <c r="H128" i="1" s="1"/>
  <c r="H140" i="1"/>
  <c r="H139" i="1" s="1"/>
  <c r="G175" i="1"/>
  <c r="G204" i="1"/>
  <c r="F352" i="1"/>
  <c r="G352" i="1" s="1"/>
  <c r="G55" i="1"/>
  <c r="G26" i="1" l="1"/>
  <c r="G44" i="1" s="1"/>
  <c r="H26" i="1"/>
  <c r="H44" i="1" s="1"/>
  <c r="H133" i="1"/>
  <c r="H150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<sst xmlns="http://schemas.openxmlformats.org/spreadsheetml/2006/main" count="358" uniqueCount="150">
  <si>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</si>
  <si>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</si>
  <si>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</si>
  <si>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</si>
  <si>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</si>
  <si>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</si>
  <si>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</si>
  <si>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</si>
  <si>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</si>
  <si>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</si>
  <si>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</si>
  <si>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</si>
  <si>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</si>
  <si>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</si>
  <si>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</si>
  <si>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</si>
  <si>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</si>
  <si>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</si>
  <si>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</si>
  <si>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</si>
  <si>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</si>
  <si>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</si>
  <si>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</si>
  <si>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</si>
  <si>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</si>
  <si>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</si>
  <si>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</si>
  <si>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</si>
  <si>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</si>
  <si>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</si>
  <si>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</si>
  <si>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</si>
  <si>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</si>
  <si>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</si>
  <si>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</si>
  <si>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</si>
  <si>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</si>
  <si>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</si>
  <si>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</si>
  <si>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</si>
  <si>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</si>
  <si>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</si>
  <si>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</si>
  <si>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</si>
  <si>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</si>
  <si>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</si>
  <si>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</si>
  <si>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</si>
  <si>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</si>
  <si>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</si>
  <si>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</si>
  <si>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</si>
  <si>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</si>
  <si>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</si>
  <si>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</si>
  <si>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</si>
  <si>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</si>
  <si>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</si>
  <si>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</si>
  <si>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</si>
  <si>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</si>
  <si>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</si>
  <si>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</si>
  <si>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</si>
  <si>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</si>
  <si>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</si>
  <si>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</si>
  <si>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</si>
  <si>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</si>
  <si>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</si>
  <si>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</si>
  <si>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</si>
  <si>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</si>
  <si>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</si>
  <si>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</si>
  <si>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</si>
  <si>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</si>
  <si>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</si>
  <si>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</si>
  <si>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</si>
  <si>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</si>
  <si>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</si>
  <si>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</si>
  <si>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</si>
  <si>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</si>
  <si>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</si>
  <si>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</si>
  <si>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</si>
  <si>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</si>
  <si>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</si>
  <si>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</si>
  <si>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</si>
  <si>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</si>
  <si>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</si>
  <si>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</si>
  <si>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</si>
  <si>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</si>
  <si>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</si>
  <si>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</si>
  <si>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</si>
  <si>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</si>
  <si>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</si>
  <si>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</si>
  <si>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</si>
  <si>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</si>
  <si>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</si>
  <si>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</si>
  <si>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</si>
  <si>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</si>
  <si>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</si>
  <si>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</si>
  <si>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</si>
  <si>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</si>
  <si>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</si>
  <si>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</si>
  <si>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</si>
  <si>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</si>
  <si>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</si>
  <si>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</si>
  <si>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</si>
  <si>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</si>
  <si>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</si>
  <si>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</si>
  <si>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</si>
  <si>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</si>
  <si>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</si>
  <si>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</si>
  <si>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</si>
  <si>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</si>
  <si>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</si>
  <si>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</si>
  <si>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</si>
  <si>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</si>
  <si>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</si>
  <si>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</si>
  <si>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</si>
  <si>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</si>
  <si>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</si>
  <si>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</si>
  <si>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</si>
  <si>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</si>
  <si>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</si>
  <si>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34</t>
  </si>
  <si>
    <t>FANGST T.O.M UKE 34</t>
  </si>
  <si>
    <t>RESTKVOTER UKE 34</t>
  </si>
  <si>
    <t>FANGST T.O.M UKE 34 2022</t>
  </si>
  <si>
    <r>
      <t xml:space="preserve">3 </t>
    </r>
    <r>
      <rPr>
        <sz val="9"/>
        <color indexed="8"/>
        <rFont val="Calibri"/>
        <family val="2"/>
      </rPr>
      <t>Registrert rekreasjonsfiske utgjør 682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</si>
  <si>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</si>
  <si>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5 713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</si>
  <si>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606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</si>
</sst>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F15" sqref="F15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139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0</v>
      </c>
      <c r="G23" s="28">
        <f t="shared" si="0"/>
        <v>54408.532160000002</v>
      </c>
      <c r="H23" s="11">
        <f t="shared" si="0"/>
        <v>32418.467840000001</v>
      </c>
      <c r="I23" s="11">
        <f t="shared" si="0"/>
        <v>69803.947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0</f>
        <v>0</v>
      </c>
      <c r="G24" s="23">
        <f>54052.65481</f>
        <v>54052.65481</v>
      </c>
      <c r="H24" s="23">
        <f>E24-G24</f>
        <v>31992.34519</v>
      </c>
      <c r="I24" s="23">
        <f>69444.86003</f>
        <v>69444.860029999996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355.87735</f>
        <v>355.87734999999998</v>
      </c>
      <c r="H25" s="23">
        <f>E25-G25</f>
        <v>426.12265000000002</v>
      </c>
      <c r="I25" s="23">
        <f>359.08697</f>
        <v>359.08697000000001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1223.41733</v>
      </c>
      <c r="G26" s="11">
        <f t="shared" si="1"/>
        <v>174419.36885999999</v>
      </c>
      <c r="H26" s="11">
        <f t="shared" si="1"/>
        <v>23150.631139999998</v>
      </c>
      <c r="I26" s="11">
        <f t="shared" si="1"/>
        <v>211350.84035000001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923.21328000000005</v>
      </c>
      <c r="G27" s="134">
        <f t="shared" ref="G27:I27" si="2">G28+G29+G30+G31+G32</f>
        <v>137535.38608</v>
      </c>
      <c r="H27" s="134">
        <f t="shared" si="2"/>
        <v>15115.61392</v>
      </c>
      <c r="I27" s="134">
        <f t="shared" si="2"/>
        <v>171237.45011999999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87.97848</f>
        <v>87.978480000000005</v>
      </c>
      <c r="G28" s="129">
        <f>36937.8232 - F57</f>
        <v>35753.823199999999</v>
      </c>
      <c r="H28" s="129">
        <f t="shared" ref="H28:H40" si="3">E28-G28</f>
        <v>3795.1768000000011</v>
      </c>
      <c r="I28" s="129">
        <f>42895.52352 - H57</f>
        <v>42895.523520000002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308.24227</f>
        <v>308.24227000000002</v>
      </c>
      <c r="G29" s="129">
        <f>38608.2353 - F58</f>
        <v>36514.2353</v>
      </c>
      <c r="H29" s="129">
        <f t="shared" si="3"/>
        <v>4249.7646999999997</v>
      </c>
      <c r="I29" s="129">
        <f>47203.40306 - H58</f>
        <v>47203.403059999997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107.63779</f>
        <v>107.63779</v>
      </c>
      <c r="G30" s="129">
        <f>36933.6405 - F59</f>
        <v>35958.640500000001</v>
      </c>
      <c r="H30" s="129">
        <f t="shared" si="3"/>
        <v>1308.3594999999987</v>
      </c>
      <c r="I30" s="129">
        <f>47251.71218 - H59</f>
        <v>47251.712180000002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19.35474</f>
        <v>19.35474</v>
      </c>
      <c r="G31" s="129">
        <f>24914.68708 - F60</f>
        <v>24468.68708</v>
      </c>
      <c r="H31" s="129">
        <f t="shared" si="3"/>
        <v>938.3129200000003</v>
      </c>
      <c r="I31" s="129">
        <f>33886.81136 - H60</f>
        <v>33886.81136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400</v>
      </c>
      <c r="G32" s="129">
        <f>F55</f>
        <v>4840</v>
      </c>
      <c r="H32" s="129">
        <f t="shared" si="3"/>
        <v>4824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193.48363</f>
        <v>193.48363000000001</v>
      </c>
      <c r="G33" s="134">
        <f>15880.44291</f>
        <v>15880.44291</v>
      </c>
      <c r="H33" s="134">
        <f t="shared" si="3"/>
        <v>7705.5570900000002</v>
      </c>
      <c r="I33" s="134">
        <f>18366.12431</f>
        <v>18366.124309999999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106.72042</v>
      </c>
      <c r="G34" s="134">
        <f>G35+G36</f>
        <v>21003.539870000001</v>
      </c>
      <c r="H34" s="134">
        <f t="shared" si="3"/>
        <v>329.46012999999948</v>
      </c>
      <c r="I34" s="134">
        <f>I35+I36</f>
        <v>21747.265920000002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64.72042</f>
        <v>64.720420000000004</v>
      </c>
      <c r="G35" s="134">
        <f>24913.53987 - F61 - F62</f>
        <v>20557.539870000001</v>
      </c>
      <c r="H35" s="129">
        <f t="shared" si="3"/>
        <v>-424.53987000000052</v>
      </c>
      <c r="I35" s="129">
        <f>21747.26592 - H61 - H62</f>
        <v>21747.265920000002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42</v>
      </c>
      <c r="G36" s="73">
        <f>F60</f>
        <v>446</v>
      </c>
      <c r="H36" s="73">
        <f t="shared" si="3"/>
        <v>754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537.7989</f>
        <v>537.7989</v>
      </c>
      <c r="H37" s="141">
        <f t="shared" si="3"/>
        <v>2462.2011000000002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0.5025</f>
        <v>0.50249999999999995</v>
      </c>
      <c r="G38" s="100">
        <f>487.17224</f>
        <v>487.17223999999999</v>
      </c>
      <c r="H38" s="100">
        <f t="shared" si="3"/>
        <v>363.82776000000001</v>
      </c>
      <c r="I38" s="100">
        <f>458.36041</f>
        <v>458.36041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12</v>
      </c>
      <c r="G39" s="100">
        <f>F61</f>
        <v>4356</v>
      </c>
      <c r="H39" s="100">
        <f t="shared" si="3"/>
        <v>-1308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4.41069</f>
        <v>4.4106899999999998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1240.3335199999999</v>
      </c>
      <c r="G44" s="78">
        <f t="shared" si="4"/>
        <v>241288.43316000002</v>
      </c>
      <c r="H44" s="78">
        <f t="shared" si="4"/>
        <v>57407.566839999963</v>
      </c>
      <c r="I44" s="78">
        <f t="shared" si="4"/>
        <v>289067.88913999998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400</v>
      </c>
      <c r="F55" s="11">
        <f>F59+F58+F57+F56</f>
        <v>4840</v>
      </c>
      <c r="G55" s="299">
        <f>D55-F55</f>
        <v>5000</v>
      </c>
      <c r="H55" s="11"/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62</v>
      </c>
      <c r="F56" s="129">
        <v>587</v>
      </c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173</v>
      </c>
      <c r="F57" s="129">
        <v>1184</v>
      </c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101</v>
      </c>
      <c r="F58" s="129">
        <v>2094</v>
      </c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64</v>
      </c>
      <c r="F59" s="194">
        <v>975</v>
      </c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42</v>
      </c>
      <c r="F60" s="97">
        <v>446</v>
      </c>
      <c r="G60" s="97">
        <f>D60-F60</f>
        <v>754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12</v>
      </c>
      <c r="F61" s="141">
        <v>4356</v>
      </c>
      <c r="G61" s="141">
        <f>D61-F61</f>
        <v>-1356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0</v>
      </c>
      <c r="G92" s="11">
        <f t="shared" si="5"/>
        <v>39268.841910000003</v>
      </c>
      <c r="H92" s="11">
        <f t="shared" si="5"/>
        <v>-4469.8419100000028</v>
      </c>
      <c r="I92" s="11">
        <f t="shared" si="5"/>
        <v>36305.297789999997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0</f>
        <v>0</v>
      </c>
      <c r="G93" s="23">
        <f>38767.55952</f>
        <v>38767.559520000003</v>
      </c>
      <c r="H93" s="23">
        <f>E93-G93</f>
        <v>-4780.5595200000025</v>
      </c>
      <c r="I93" s="23">
        <f>35590.59632</f>
        <v>35590.596319999997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501.28239</f>
        <v>501.28239000000002</v>
      </c>
      <c r="H94" s="52">
        <f>E94-G94</f>
        <v>310.71760999999998</v>
      </c>
      <c r="I94" s="52">
        <f>714.70147</f>
        <v>714.70146999999997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526.45973000000004</v>
      </c>
      <c r="G95" s="11">
        <f t="shared" si="6"/>
        <v>27252.053459999999</v>
      </c>
      <c r="H95" s="11">
        <f t="shared" si="6"/>
        <v>32247.946540000001</v>
      </c>
      <c r="I95" s="11">
        <f t="shared" si="6"/>
        <v>31873.548349999997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281.18513000000002</v>
      </c>
      <c r="G96" s="134">
        <f t="shared" si="7"/>
        <v>19534.803309999999</v>
      </c>
      <c r="H96" s="134">
        <f t="shared" si="7"/>
        <v>24956.196690000001</v>
      </c>
      <c r="I96" s="134">
        <f t="shared" si="7"/>
        <v>25009.638429999999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75.49135</f>
        <v>75.491349999999997</v>
      </c>
      <c r="G97" s="129">
        <f>2827.80414</f>
        <v>2827.8041400000002</v>
      </c>
      <c r="H97" s="129">
        <f t="shared" ref="H97:H104" si="8">E97-G97</f>
        <v>9055.8958600000005</v>
      </c>
      <c r="I97" s="129">
        <f>2784.28414</f>
        <v>2784.2841400000002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66.77061</f>
        <v>66.770610000000005</v>
      </c>
      <c r="G98" s="129">
        <f>5894.17344</f>
        <v>5894.1734399999996</v>
      </c>
      <c r="H98" s="129">
        <f t="shared" si="8"/>
        <v>6770.9265600000008</v>
      </c>
      <c r="I98" s="129">
        <f>8509.58138</f>
        <v>8509.5813799999996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126.88249</f>
        <v>126.88249</v>
      </c>
      <c r="G99" s="129">
        <f>5927.98772</f>
        <v>5927.9877200000001</v>
      </c>
      <c r="H99" s="129">
        <f t="shared" si="8"/>
        <v>6037.6122800000003</v>
      </c>
      <c r="I99" s="129">
        <f>6996.30928</f>
        <v>6996.3092800000004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12.04068</f>
        <v>12.04068</v>
      </c>
      <c r="G100" s="129">
        <f>4884.83801</f>
        <v>4884.8380100000004</v>
      </c>
      <c r="H100" s="129">
        <f t="shared" si="8"/>
        <v>3091.76199</v>
      </c>
      <c r="I100" s="129">
        <f>6719.46363</f>
        <v>6719.4636300000002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188.95522</f>
        <v>188.95522</v>
      </c>
      <c r="G101" s="134">
        <f>6295.83787</f>
        <v>6295.8378700000003</v>
      </c>
      <c r="H101" s="134">
        <f t="shared" si="8"/>
        <v>4095.1621299999997</v>
      </c>
      <c r="I101" s="134">
        <f>5688.6554</f>
        <v>5688.6553999999996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56.31938</f>
        <v>56.319380000000002</v>
      </c>
      <c r="G102" s="77">
        <f>1421.41228</f>
        <v>1421.41228</v>
      </c>
      <c r="H102" s="77">
        <f t="shared" si="8"/>
        <v>3196.58772</v>
      </c>
      <c r="I102" s="77">
        <f>1175.25452</f>
        <v>1175.25452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0.31788</f>
        <v>0.31788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526.77760999999998</v>
      </c>
      <c r="G107" s="78">
        <f t="shared" si="9"/>
        <v>66840.911839999986</v>
      </c>
      <c r="H107" s="78">
        <f t="shared" si="9"/>
        <v>28128.08816000001</v>
      </c>
      <c r="I107" s="78">
        <f t="shared" si="9"/>
        <v>68544.575749999989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0</v>
      </c>
      <c r="G128" s="11">
        <f t="shared" si="11"/>
        <v>43582.826990000001</v>
      </c>
      <c r="H128" s="11">
        <f t="shared" si="11"/>
        <v>27124.173009999999</v>
      </c>
      <c r="I128" s="11">
        <f t="shared" si="11"/>
        <v>42931.426879999999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0</f>
        <v>0</v>
      </c>
      <c r="G129" s="23">
        <f>38602.29604</f>
        <v>38602.296040000001</v>
      </c>
      <c r="H129" s="23">
        <f>E129-G129</f>
        <v>17622.703959999999</v>
      </c>
      <c r="I129" s="23">
        <f>36856.19922</f>
        <v>36856.199220000002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4980.53095</f>
        <v>4980.5309500000003</v>
      </c>
      <c r="H130" s="23">
        <f>E130-G130</f>
        <v>9001.4690499999997</v>
      </c>
      <c r="I130" s="23">
        <f>6075.22766</f>
        <v>6075.2276599999996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1971.8924</f>
        <v>1971.8924</v>
      </c>
      <c r="G132" s="97">
        <f>36423.63489+5713.11388</f>
        <v>42136.748769999998</v>
      </c>
      <c r="H132" s="97">
        <f>E132-G132</f>
        <v>7148.2512300000017</v>
      </c>
      <c r="I132" s="97">
        <f>37524.85148</f>
        <v>37524.851479999998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1879.46154</v>
      </c>
      <c r="G133" s="96">
        <f t="shared" ref="G133" si="12">G134+G139+G142</f>
        <v>54117.443039999998</v>
      </c>
      <c r="H133" s="96">
        <f>H134+H139+H142</f>
        <v>26994.556960000002</v>
      </c>
      <c r="I133" s="96">
        <f>I134+I139+I142</f>
        <v>53575.58554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1519.33881</v>
      </c>
      <c r="G134" s="127">
        <f>G135+G136+G138+G137</f>
        <v>41729.76743</v>
      </c>
      <c r="H134" s="127">
        <f>H135+H136+H137+H138</f>
        <v>17903.23257</v>
      </c>
      <c r="I134" s="127">
        <f>I135+I136+I137+I138</f>
        <v>42197.001530000001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229.39734</f>
        <v>229.39734000000001</v>
      </c>
      <c r="G135" s="129">
        <v>7220.2213099999999</v>
      </c>
      <c r="H135" s="129">
        <f>E135-G135</f>
        <v>10317.778689999999</v>
      </c>
      <c r="I135" s="129">
        <f>6472.15711</f>
        <v>6472.1571100000001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476.99434</f>
        <v>476.99434000000002</v>
      </c>
      <c r="G136" s="129">
        <v>12176.6667</v>
      </c>
      <c r="H136" s="129">
        <f>E136-G136</f>
        <v>2941.3333000000002</v>
      </c>
      <c r="I136" s="129">
        <f>9799.48324</f>
        <v>9799.4832399999996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497.41373</f>
        <v>497.41372999999999</v>
      </c>
      <c r="G137" s="129">
        <v>12272.282859999999</v>
      </c>
      <c r="H137" s="129">
        <f>E137-G137</f>
        <v>2783.7171400000007</v>
      </c>
      <c r="I137" s="129">
        <f>13693.02137</f>
        <v>13693.02137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315.5334</f>
        <v>315.53339999999997</v>
      </c>
      <c r="G138" s="129">
        <v>10060.596560000002</v>
      </c>
      <c r="H138" s="129">
        <f>E138-G138</f>
        <v>1860.4034399999982</v>
      </c>
      <c r="I138" s="129">
        <f>12232.33981</f>
        <v>12232.339809999999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35.359650000000002</v>
      </c>
      <c r="G139" s="134">
        <f>SUM(G140:G141)</f>
        <v>6891.4134400000003</v>
      </c>
      <c r="H139" s="134">
        <f>H140+H141</f>
        <v>2559.5865600000002</v>
      </c>
      <c r="I139" s="134">
        <f>SUM(I140:I141)</f>
        <v>6140.82942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0</f>
        <v>0</v>
      </c>
      <c r="G140" s="129">
        <f>6673.41698</f>
        <v>6673.41698</v>
      </c>
      <c r="H140" s="129">
        <f t="shared" ref="H140:H147" si="13">E140-G140</f>
        <v>2277.58302</v>
      </c>
      <c r="I140" s="129">
        <f>5941.74494</f>
        <v>5941.7449399999996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35.35965</f>
        <v>35.359650000000002</v>
      </c>
      <c r="G141" s="129">
        <f>217.99646</f>
        <v>217.99646000000001</v>
      </c>
      <c r="H141" s="129">
        <f t="shared" si="13"/>
        <v>282.00353999999999</v>
      </c>
      <c r="I141" s="129">
        <f>199.08448</f>
        <v>199.08448000000001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324.76308</f>
        <v>324.76308</v>
      </c>
      <c r="G142" s="77">
        <f>5496.26217</f>
        <v>5496.26217</v>
      </c>
      <c r="H142" s="77">
        <f t="shared" si="13"/>
        <v>6531.73783</v>
      </c>
      <c r="I142" s="77">
        <f>5237.75459</f>
        <v>5237.7545899999996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3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19.27472</f>
        <v>19.274719999999999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3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3870.6286599999999</v>
      </c>
      <c r="G150" s="78">
        <f>G128+G132+G133+G143+G144+G145+G146+G147+G148</f>
        <v>142129.96080000003</v>
      </c>
      <c r="H150" s="78">
        <f>H128+H132+H133+H143+H144+H145+H146+H147+H148</f>
        <v>61556.039200000007</v>
      </c>
      <c r="I150" s="78">
        <f>I128+I132+I133+I143+I144+I145+I146+I147+I148</f>
        <v>136360.39041999998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148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0</f>
        <v>0</v>
      </c>
      <c r="F175" s="274">
        <f>1379.12795</f>
        <v>1379.1279500000001</v>
      </c>
      <c r="G175" s="45">
        <f>D175-F175-F176</f>
        <v>1961.83707</v>
      </c>
      <c r="H175" s="274">
        <f>1114.44245</f>
        <v>1114.44245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74.1545</f>
        <v>74.154499999999999</v>
      </c>
      <c r="F176" s="154">
        <f>1647.03498</f>
        <v>1647.0349799999999</v>
      </c>
      <c r="G176" s="215"/>
      <c r="H176" s="154">
        <f>1372.72845</f>
        <v>1372.7284500000001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71.57216</f>
        <v>71.572159999999997</v>
      </c>
      <c r="G177" s="174">
        <f>D177-F177</f>
        <v>128.42784</v>
      </c>
      <c r="H177" s="174">
        <f>49.89844</f>
        <v>49.898440000000001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37.020600000000002</v>
      </c>
      <c r="F178" s="183">
        <f>F179+F180+F181</f>
        <v>7866.068369999999</v>
      </c>
      <c r="G178" s="183">
        <f>D178-F178</f>
        <v>-385.06836999999905</v>
      </c>
      <c r="H178" s="183">
        <f>H179+H180+H181</f>
        <v>7564.1641199999995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14.46001</f>
        <v>14.46001</v>
      </c>
      <c r="F179" s="129">
        <f>4139.82994</f>
        <v>4139.8299399999996</v>
      </c>
      <c r="G179" s="129"/>
      <c r="H179" s="129">
        <f>3949.88606</f>
        <v>3949.8860599999998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18.55271</f>
        <v>18.552710000000001</v>
      </c>
      <c r="F180" s="129">
        <f>2366.93823</f>
        <v>2366.9382300000002</v>
      </c>
      <c r="G180" s="129"/>
      <c r="H180" s="129">
        <f>2323.46993</f>
        <v>2323.4699300000002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4.00788</f>
        <v>4.0078800000000001</v>
      </c>
      <c r="F181" s="194">
        <f>1359.3002</f>
        <v>1359.3001999999999</v>
      </c>
      <c r="G181" s="194"/>
      <c r="H181" s="194">
        <f>1290.80813</f>
        <v>1290.8081299999999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111.1751</v>
      </c>
      <c r="F184" s="196">
        <f>F175+F176+F177+F178+F182+F183</f>
        <v>10963.803459999999</v>
      </c>
      <c r="G184" s="196">
        <f>D184-F184</f>
        <v>1771.1965400000008</v>
      </c>
      <c r="H184" s="196">
        <f>H175+H176+H177+H178+H182+H183</f>
        <v>10101.233459999999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0</f>
        <v>0</v>
      </c>
      <c r="F204" s="124">
        <f>39753.11215</f>
        <v>39753.112150000001</v>
      </c>
      <c r="G204" s="124">
        <f>D204-F204</f>
        <v>4085.8878499999992</v>
      </c>
      <c r="H204" s="124">
        <f>34253.18476</f>
        <v>34253.184759999996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0.0375</f>
        <v>3.7499999999999999E-2</v>
      </c>
      <c r="F205" s="124">
        <f>57.03755</f>
        <v>57.037550000000003</v>
      </c>
      <c r="G205" s="124">
        <f>D205-F205</f>
        <v>42.962449999999997</v>
      </c>
      <c r="H205" s="124">
        <f>38.91531</f>
        <v>38.915309999999998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3.7499999999999999E-2</v>
      </c>
      <c r="F207" s="190">
        <f>SUM(F204:F206)</f>
        <v>39810.149700000002</v>
      </c>
      <c r="G207" s="190">
        <f>D207-F207</f>
        <v>4170.8502999999982</v>
      </c>
      <c r="H207" s="190">
        <f>SUM(H204:H206)</f>
        <v>34292.100069999993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164.40096</f>
        <v>164.40096</v>
      </c>
      <c r="F249" s="77">
        <f>3153.88219</f>
        <v>3153.8821899999998</v>
      </c>
      <c r="G249" s="77"/>
      <c r="H249" s="77">
        <f>1929.09751</f>
        <v>1929.0975100000001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72.55506</f>
        <v>72.555059999999997</v>
      </c>
      <c r="F250" s="77">
        <f>4785.97787</f>
        <v>4785.9778699999997</v>
      </c>
      <c r="G250" s="77"/>
      <c r="H250" s="77">
        <f>4204.51965</f>
        <v>4204.5196500000002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1.2509</f>
        <v>1.2508999999999999</v>
      </c>
      <c r="F251" s="124">
        <f>515.90937</f>
        <v>515.90936999999997</v>
      </c>
      <c r="G251" s="168"/>
      <c r="H251" s="124">
        <f>487.35918</f>
        <v>487.35917999999998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238.20692</v>
      </c>
      <c r="F252" s="190">
        <f>SUM(F249:F251)</f>
        <v>8455.7694299999985</v>
      </c>
      <c r="G252" s="190">
        <f>D252-F252</f>
        <v>1998.2305700000015</v>
      </c>
      <c r="H252" s="190">
        <f>SUM(H249:H251)</f>
        <v>6620.9763400000002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372.865</f>
        <v>372.86500000000001</v>
      </c>
      <c r="F294" s="77">
        <f>4825.52747</f>
        <v>4825.52747</v>
      </c>
      <c r="G294" s="77"/>
      <c r="H294" s="77">
        <f>2512.47093</f>
        <v>2512.47093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74.28826</f>
        <v>74.288259999999994</v>
      </c>
      <c r="F295" s="77">
        <f>2839.2971</f>
        <v>2839.2970999999998</v>
      </c>
      <c r="G295" s="77"/>
      <c r="H295" s="77">
        <f>2249.97598</f>
        <v>2249.9759800000002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1.11946</f>
        <v>1.1194599999999999</v>
      </c>
      <c r="F296" s="124">
        <f>416.27556</f>
        <v>416.27555999999998</v>
      </c>
      <c r="G296" s="168"/>
      <c r="H296" s="124">
        <f>450.34034</f>
        <v>450.34034000000003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448.27271999999999</v>
      </c>
      <c r="F297" s="190">
        <f>SUM(F294:F296)</f>
        <v>8081.1001299999998</v>
      </c>
      <c r="G297" s="190">
        <f>D297-F297</f>
        <v>-5.1001299999998082</v>
      </c>
      <c r="H297" s="190">
        <f>SUM(H294:H296)</f>
        <v>5212.7872500000003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10.18019</f>
        <v>10.18019</v>
      </c>
      <c r="F348" s="124">
        <f>437.99947</f>
        <v>437.99946999999997</v>
      </c>
      <c r="G348" s="124">
        <f>D348-F348</f>
        <v>362.00053000000003</v>
      </c>
      <c r="H348" s="124">
        <f>250.17638</f>
        <v>250.17637999999999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40.59786</f>
        <v>40.597859999999997</v>
      </c>
      <c r="F349" s="124">
        <f>2345.06372</f>
        <v>2345.0637200000001</v>
      </c>
      <c r="G349" s="124">
        <f>D349-F349</f>
        <v>148.9362799999999</v>
      </c>
      <c r="H349" s="124">
        <f>1314.04343</f>
        <v>1314.0434299999999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0.9169</f>
        <v>0.91690000000000005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1.6866</f>
        <v>1.6866000000000001</v>
      </c>
      <c r="G351" s="124"/>
      <c r="H351" s="168">
        <f>6.74854</f>
        <v>6.7485400000000002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50.778049999999993</v>
      </c>
      <c r="F352" s="190">
        <f>SUM(F348:F351)</f>
        <v>2787.4885299999996</v>
      </c>
      <c r="G352" s="190">
        <f>D352-F352</f>
        <v>511.51147000000037</v>
      </c>
      <c r="H352" s="190">
        <f>H348+H349+H350+H351</f>
        <v>1571.88525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151.87280000000001</v>
      </c>
      <c r="G378" s="251">
        <f t="shared" si="15"/>
        <v>11521.575069999999</v>
      </c>
      <c r="H378" s="251">
        <f>H382+H381+H380+H379</f>
        <v>4580.4249300000001</v>
      </c>
      <c r="I378" s="251">
        <f t="shared" si="15"/>
        <v>4260.9144099999994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6296.42375</f>
        <v>6296.4237499999999</v>
      </c>
      <c r="H379" s="255">
        <f t="shared" ref="H379:H383" si="16">E379-G379</f>
        <v>1880.5762500000001</v>
      </c>
      <c r="I379" s="255">
        <f>1823.99638</f>
        <v>1823.99638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1228.1895</f>
        <v>1228.1895</v>
      </c>
      <c r="H380" s="255">
        <f t="shared" si="16"/>
        <v>899.81050000000005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37.7352</f>
        <v>37.735199999999999</v>
      </c>
      <c r="G381" s="255">
        <f>1608.99932</f>
        <v>1608.9993199999999</v>
      </c>
      <c r="H381" s="255">
        <f t="shared" si="16"/>
        <v>-251.9993199999999</v>
      </c>
      <c r="I381" s="255">
        <f>1193.93763</f>
        <v>1193.9376299999999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114.1376</f>
        <v>114.13760000000001</v>
      </c>
      <c r="G382" s="255">
        <f>2387.9625</f>
        <v>2387.9625000000001</v>
      </c>
      <c r="H382" s="255">
        <f t="shared" si="16"/>
        <v>2052.0374999999999</v>
      </c>
      <c r="I382" s="255">
        <f>752.5686</f>
        <v>752.56859999999995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1.562</f>
        <v>1.5620000000000001</v>
      </c>
      <c r="G383" s="266">
        <f>5104.33828</f>
        <v>5104.3382799999999</v>
      </c>
      <c r="H383" s="266">
        <f t="shared" si="16"/>
        <v>395.66172000000006</v>
      </c>
      <c r="I383" s="266">
        <f>4540.28868</f>
        <v>4540.2886799999997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139.1198</v>
      </c>
      <c r="G384" s="267">
        <f>G386+G385</f>
        <v>3040.2253200000005</v>
      </c>
      <c r="H384" s="267">
        <f>E384-G384</f>
        <v>4959.7746799999995</v>
      </c>
      <c r="I384" s="267">
        <f>I386+I385</f>
        <v>3095.8707100000001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861.9084</f>
        <v>861.90840000000003</v>
      </c>
      <c r="H385" s="255"/>
      <c r="I385" s="255">
        <f>1104.06518</f>
        <v>1104.0651800000001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139.1198</f>
        <v>139.1198</v>
      </c>
      <c r="G386" s="276">
        <f>2178.31692</f>
        <v>2178.3169200000002</v>
      </c>
      <c r="H386" s="276"/>
      <c r="I386" s="276">
        <f>1991.80553</f>
        <v>1991.8055300000001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0.1593</f>
        <v>0.1593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20.36304</f>
        <v>20.363040000000002</v>
      </c>
      <c r="G388" s="266">
        <f>114.97046</f>
        <v>114.97046</v>
      </c>
      <c r="H388" s="266">
        <f>E388-G388</f>
        <v>-114.97046</v>
      </c>
      <c r="I388" s="266">
        <f>231.00329</f>
        <v>231.00328999999999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312.91764000000006</v>
      </c>
      <c r="G389" s="285">
        <f t="shared" si="17"/>
        <v>19781.182629999999</v>
      </c>
      <c r="H389" s="285">
        <f>H378+H383+H384+H387+H388</f>
        <v>9830.8173699999988</v>
      </c>
      <c r="I389" s="285">
        <f t="shared" si="17"/>
        <v>12128.236389999998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42.030499999999996</v>
      </c>
      <c r="F414" s="26">
        <f>SUM(F415:F416)</f>
        <v>1398.1779499999998</v>
      </c>
      <c r="G414" s="87"/>
      <c r="H414" s="26">
        <f>SUM(H415:H416)</f>
        <v>1750.34267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33.385</f>
        <v>33.384999999999998</v>
      </c>
      <c r="F415" s="30">
        <f>1077.81127</f>
        <v>1077.8112699999999</v>
      </c>
      <c r="G415" s="99"/>
      <c r="H415" s="30">
        <f>1371.7077</f>
        <v>1371.7076999999999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8.6455</f>
        <v>8.6455000000000002</v>
      </c>
      <c r="F416" s="30">
        <f>320.36668</f>
        <v>320.36667999999997</v>
      </c>
      <c r="G416" s="110"/>
      <c r="H416" s="30">
        <f>378.63497</f>
        <v>378.63497000000001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0</v>
      </c>
      <c r="F417" s="36">
        <f>SUM(F418:F419)</f>
        <v>0</v>
      </c>
      <c r="G417" s="87"/>
      <c r="H417" s="36">
        <f>SUM(H418:H419)</f>
        <v>0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42.030499999999996</v>
      </c>
      <c r="F421" s="42">
        <f>F411+F414+F417+F420</f>
        <v>3594.9250799999995</v>
      </c>
      <c r="G421" s="43"/>
      <c r="H421" s="42">
        <f>H411+H414+H417+H420</f>
        <v>3137.9749999999999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34&amp;R28.08.2023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2023-08-28T06:41:29Z</dcterms:modified>
</cp:coreProperties>
</file>