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almal\AppData\Local\Microsoft\Windows\INetCache\Content.Outlook\JPV7RF9W\"/>
    </mc:Choice>
  </mc:AlternateContent>
  <xr:revisionPtr revIDLastSave="0" documentId="13_ncr:1_{847B4043-C8C6-4F10-AF8B-54F4F4F65A36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5" i="1" l="1"/>
  <c r="F345" i="1"/>
  <c r="E345" i="1"/>
  <c r="D345" i="1"/>
  <c r="G344" i="1"/>
  <c r="G345" i="1" s="1"/>
  <c r="G343" i="1"/>
  <c r="E336" i="1"/>
  <c r="D324" i="1"/>
  <c r="H323" i="1"/>
  <c r="H324" i="1" s="1"/>
  <c r="F323" i="1"/>
  <c r="F324" i="1" s="1"/>
  <c r="E323" i="1"/>
  <c r="E324" i="1" s="1"/>
  <c r="H322" i="1"/>
  <c r="G322" i="1"/>
  <c r="F322" i="1"/>
  <c r="E322" i="1"/>
  <c r="E315" i="1"/>
  <c r="D304" i="1"/>
  <c r="H303" i="1"/>
  <c r="F303" i="1"/>
  <c r="G303" i="1" s="1"/>
  <c r="E303" i="1"/>
  <c r="H302" i="1"/>
  <c r="F302" i="1"/>
  <c r="E302" i="1"/>
  <c r="H301" i="1"/>
  <c r="F301" i="1"/>
  <c r="E301" i="1"/>
  <c r="H300" i="1"/>
  <c r="F300" i="1"/>
  <c r="G300" i="1" s="1"/>
  <c r="E300" i="1"/>
  <c r="H299" i="1"/>
  <c r="F299" i="1"/>
  <c r="E299" i="1"/>
  <c r="H298" i="1"/>
  <c r="F298" i="1"/>
  <c r="E298" i="1"/>
  <c r="H297" i="1"/>
  <c r="F297" i="1"/>
  <c r="G297" i="1" s="1"/>
  <c r="E297" i="1"/>
  <c r="H296" i="1"/>
  <c r="F296" i="1"/>
  <c r="E296" i="1"/>
  <c r="H295" i="1"/>
  <c r="F295" i="1"/>
  <c r="E295" i="1"/>
  <c r="E294" i="1" s="1"/>
  <c r="E304" i="1" s="1"/>
  <c r="H294" i="1"/>
  <c r="H304" i="1" s="1"/>
  <c r="F294" i="1"/>
  <c r="F304" i="1" s="1"/>
  <c r="E273" i="1"/>
  <c r="D273" i="1"/>
  <c r="I272" i="1"/>
  <c r="H272" i="1"/>
  <c r="G272" i="1"/>
  <c r="F272" i="1"/>
  <c r="I271" i="1"/>
  <c r="G271" i="1"/>
  <c r="H271" i="1" s="1"/>
  <c r="F271" i="1"/>
  <c r="I270" i="1"/>
  <c r="G270" i="1"/>
  <c r="F270" i="1"/>
  <c r="I269" i="1"/>
  <c r="G269" i="1"/>
  <c r="G268" i="1" s="1"/>
  <c r="H268" i="1" s="1"/>
  <c r="F269" i="1"/>
  <c r="I268" i="1"/>
  <c r="F268" i="1"/>
  <c r="I267" i="1"/>
  <c r="G267" i="1"/>
  <c r="H267" i="1" s="1"/>
  <c r="F267" i="1"/>
  <c r="I266" i="1"/>
  <c r="G266" i="1"/>
  <c r="H266" i="1" s="1"/>
  <c r="F266" i="1"/>
  <c r="I265" i="1"/>
  <c r="G265" i="1"/>
  <c r="G262" i="1" s="1"/>
  <c r="G273" i="1" s="1"/>
  <c r="F265" i="1"/>
  <c r="I264" i="1"/>
  <c r="G264" i="1"/>
  <c r="H264" i="1" s="1"/>
  <c r="F264" i="1"/>
  <c r="I263" i="1"/>
  <c r="G263" i="1"/>
  <c r="H263" i="1" s="1"/>
  <c r="F263" i="1"/>
  <c r="I262" i="1"/>
  <c r="I273" i="1" s="1"/>
  <c r="F262" i="1"/>
  <c r="F273" i="1" s="1"/>
  <c r="E262" i="1"/>
  <c r="D262" i="1"/>
  <c r="H254" i="1"/>
  <c r="F254" i="1"/>
  <c r="D251" i="1"/>
  <c r="D250" i="1"/>
  <c r="H241" i="1"/>
  <c r="D241" i="1"/>
  <c r="G241" i="1" s="1"/>
  <c r="H240" i="1"/>
  <c r="G240" i="1"/>
  <c r="F240" i="1"/>
  <c r="E240" i="1"/>
  <c r="H239" i="1"/>
  <c r="F239" i="1"/>
  <c r="G239" i="1" s="1"/>
  <c r="E239" i="1"/>
  <c r="H238" i="1"/>
  <c r="G238" i="1"/>
  <c r="F238" i="1"/>
  <c r="E238" i="1"/>
  <c r="H237" i="1"/>
  <c r="F237" i="1"/>
  <c r="F241" i="1" s="1"/>
  <c r="E237" i="1"/>
  <c r="E241" i="1" s="1"/>
  <c r="D230" i="1"/>
  <c r="D219" i="1"/>
  <c r="H218" i="1"/>
  <c r="G218" i="1"/>
  <c r="F218" i="1"/>
  <c r="E218" i="1"/>
  <c r="H217" i="1"/>
  <c r="F217" i="1"/>
  <c r="E217" i="1"/>
  <c r="H216" i="1"/>
  <c r="H215" i="1" s="1"/>
  <c r="H219" i="1" s="1"/>
  <c r="F216" i="1"/>
  <c r="F215" i="1" s="1"/>
  <c r="E216" i="1"/>
  <c r="E215" i="1" s="1"/>
  <c r="E219" i="1" s="1"/>
  <c r="D206" i="1"/>
  <c r="H205" i="1"/>
  <c r="F205" i="1"/>
  <c r="G205" i="1" s="1"/>
  <c r="E205" i="1"/>
  <c r="H204" i="1"/>
  <c r="F204" i="1"/>
  <c r="E204" i="1"/>
  <c r="E202" i="1" s="1"/>
  <c r="E206" i="1" s="1"/>
  <c r="H203" i="1"/>
  <c r="F203" i="1"/>
  <c r="F202" i="1" s="1"/>
  <c r="E203" i="1"/>
  <c r="H202" i="1"/>
  <c r="H206" i="1" s="1"/>
  <c r="E192" i="1"/>
  <c r="D192" i="1"/>
  <c r="I191" i="1"/>
  <c r="G191" i="1"/>
  <c r="H191" i="1" s="1"/>
  <c r="F191" i="1"/>
  <c r="I190" i="1"/>
  <c r="I192" i="1" s="1"/>
  <c r="G190" i="1"/>
  <c r="H190" i="1" s="1"/>
  <c r="F190" i="1"/>
  <c r="I189" i="1"/>
  <c r="G189" i="1"/>
  <c r="G192" i="1" s="1"/>
  <c r="F189" i="1"/>
  <c r="F192" i="1" s="1"/>
  <c r="D169" i="1"/>
  <c r="H168" i="1"/>
  <c r="G168" i="1"/>
  <c r="F168" i="1"/>
  <c r="E168" i="1"/>
  <c r="H167" i="1"/>
  <c r="G167" i="1"/>
  <c r="F167" i="1"/>
  <c r="E167" i="1"/>
  <c r="H166" i="1"/>
  <c r="F166" i="1"/>
  <c r="E166" i="1"/>
  <c r="H165" i="1"/>
  <c r="H163" i="1" s="1"/>
  <c r="F165" i="1"/>
  <c r="E165" i="1"/>
  <c r="H164" i="1"/>
  <c r="F164" i="1"/>
  <c r="E164" i="1"/>
  <c r="E163" i="1" s="1"/>
  <c r="F163" i="1"/>
  <c r="G163" i="1" s="1"/>
  <c r="H162" i="1"/>
  <c r="G162" i="1"/>
  <c r="F162" i="1"/>
  <c r="E162" i="1"/>
  <c r="H161" i="1"/>
  <c r="H169" i="1" s="1"/>
  <c r="F161" i="1"/>
  <c r="E161" i="1"/>
  <c r="E169" i="1" s="1"/>
  <c r="H160" i="1"/>
  <c r="G160" i="1"/>
  <c r="F160" i="1"/>
  <c r="E160" i="1"/>
  <c r="D137" i="1"/>
  <c r="I135" i="1"/>
  <c r="G135" i="1"/>
  <c r="H135" i="1" s="1"/>
  <c r="F135" i="1"/>
  <c r="I134" i="1"/>
  <c r="H134" i="1"/>
  <c r="G134" i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G128" i="1"/>
  <c r="H128" i="1" s="1"/>
  <c r="F128" i="1"/>
  <c r="I127" i="1"/>
  <c r="I126" i="1" s="1"/>
  <c r="I120" i="1" s="1"/>
  <c r="G127" i="1"/>
  <c r="H127" i="1" s="1"/>
  <c r="H126" i="1" s="1"/>
  <c r="F127" i="1"/>
  <c r="F126" i="1" s="1"/>
  <c r="E126" i="1"/>
  <c r="D126" i="1"/>
  <c r="I125" i="1"/>
  <c r="H125" i="1"/>
  <c r="G125" i="1"/>
  <c r="F125" i="1"/>
  <c r="I124" i="1"/>
  <c r="G124" i="1"/>
  <c r="H124" i="1" s="1"/>
  <c r="F124" i="1"/>
  <c r="I123" i="1"/>
  <c r="H123" i="1"/>
  <c r="G123" i="1"/>
  <c r="F123" i="1"/>
  <c r="I122" i="1"/>
  <c r="G122" i="1"/>
  <c r="H122" i="1" s="1"/>
  <c r="H121" i="1" s="1"/>
  <c r="H120" i="1" s="1"/>
  <c r="F122" i="1"/>
  <c r="I121" i="1"/>
  <c r="F121" i="1"/>
  <c r="E121" i="1"/>
  <c r="E120" i="1" s="1"/>
  <c r="D121" i="1"/>
  <c r="D120" i="1"/>
  <c r="I119" i="1"/>
  <c r="G119" i="1"/>
  <c r="H119" i="1" s="1"/>
  <c r="F119" i="1"/>
  <c r="I118" i="1"/>
  <c r="H118" i="1"/>
  <c r="G118" i="1"/>
  <c r="F118" i="1"/>
  <c r="I117" i="1"/>
  <c r="G117" i="1"/>
  <c r="H117" i="1" s="1"/>
  <c r="F117" i="1"/>
  <c r="I116" i="1"/>
  <c r="I115" i="1" s="1"/>
  <c r="H116" i="1"/>
  <c r="G116" i="1"/>
  <c r="F116" i="1"/>
  <c r="F115" i="1" s="1"/>
  <c r="G115" i="1"/>
  <c r="E115" i="1"/>
  <c r="D115" i="1"/>
  <c r="C113" i="1"/>
  <c r="I93" i="1"/>
  <c r="G93" i="1"/>
  <c r="H93" i="1" s="1"/>
  <c r="F93" i="1"/>
  <c r="I92" i="1"/>
  <c r="H92" i="1"/>
  <c r="G92" i="1"/>
  <c r="F92" i="1"/>
  <c r="I91" i="1"/>
  <c r="G91" i="1"/>
  <c r="H91" i="1" s="1"/>
  <c r="F91" i="1"/>
  <c r="I90" i="1"/>
  <c r="H90" i="1"/>
  <c r="G90" i="1"/>
  <c r="F90" i="1"/>
  <c r="I89" i="1"/>
  <c r="G89" i="1"/>
  <c r="H89" i="1" s="1"/>
  <c r="F89" i="1"/>
  <c r="I88" i="1"/>
  <c r="H88" i="1"/>
  <c r="G88" i="1"/>
  <c r="F88" i="1"/>
  <c r="I87" i="1"/>
  <c r="G87" i="1"/>
  <c r="H87" i="1" s="1"/>
  <c r="F87" i="1"/>
  <c r="I86" i="1"/>
  <c r="H86" i="1"/>
  <c r="G86" i="1"/>
  <c r="F86" i="1"/>
  <c r="I85" i="1"/>
  <c r="G85" i="1"/>
  <c r="H85" i="1" s="1"/>
  <c r="F85" i="1"/>
  <c r="I84" i="1"/>
  <c r="H84" i="1"/>
  <c r="G84" i="1"/>
  <c r="F84" i="1"/>
  <c r="F83" i="1" s="1"/>
  <c r="F82" i="1" s="1"/>
  <c r="I83" i="1"/>
  <c r="I82" i="1" s="1"/>
  <c r="G83" i="1"/>
  <c r="G82" i="1" s="1"/>
  <c r="E83" i="1"/>
  <c r="D83" i="1"/>
  <c r="D82" i="1" s="1"/>
  <c r="D94" i="1" s="1"/>
  <c r="E82" i="1"/>
  <c r="I81" i="1"/>
  <c r="H81" i="1"/>
  <c r="G81" i="1"/>
  <c r="F81" i="1"/>
  <c r="I80" i="1"/>
  <c r="I79" i="1" s="1"/>
  <c r="G80" i="1"/>
  <c r="G79" i="1" s="1"/>
  <c r="G94" i="1" s="1"/>
  <c r="F80" i="1"/>
  <c r="F79" i="1"/>
  <c r="F94" i="1" s="1"/>
  <c r="E79" i="1"/>
  <c r="E94" i="1" s="1"/>
  <c r="D79" i="1"/>
  <c r="C76" i="1"/>
  <c r="H72" i="1"/>
  <c r="F72" i="1"/>
  <c r="D72" i="1"/>
  <c r="H58" i="1"/>
  <c r="H57" i="1"/>
  <c r="I52" i="1"/>
  <c r="I31" i="1" s="1"/>
  <c r="G52" i="1"/>
  <c r="G31" i="1" s="1"/>
  <c r="F52" i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H34" i="1"/>
  <c r="G34" i="1"/>
  <c r="G33" i="1" s="1"/>
  <c r="F34" i="1"/>
  <c r="I33" i="1"/>
  <c r="F33" i="1"/>
  <c r="E33" i="1"/>
  <c r="D33" i="1"/>
  <c r="I32" i="1"/>
  <c r="G32" i="1"/>
  <c r="H32" i="1" s="1"/>
  <c r="F32" i="1"/>
  <c r="F31" i="1"/>
  <c r="I30" i="1"/>
  <c r="G30" i="1"/>
  <c r="H30" i="1" s="1"/>
  <c r="F30" i="1"/>
  <c r="I29" i="1"/>
  <c r="H29" i="1"/>
  <c r="G29" i="1"/>
  <c r="F29" i="1"/>
  <c r="I28" i="1"/>
  <c r="G28" i="1"/>
  <c r="H28" i="1" s="1"/>
  <c r="F28" i="1"/>
  <c r="I27" i="1"/>
  <c r="H27" i="1"/>
  <c r="G27" i="1"/>
  <c r="F27" i="1"/>
  <c r="E26" i="1"/>
  <c r="D26" i="1"/>
  <c r="D25" i="1" s="1"/>
  <c r="E25" i="1"/>
  <c r="I24" i="1"/>
  <c r="H24" i="1"/>
  <c r="G24" i="1"/>
  <c r="F24" i="1"/>
  <c r="I23" i="1"/>
  <c r="I22" i="1" s="1"/>
  <c r="G23" i="1"/>
  <c r="G22" i="1" s="1"/>
  <c r="F23" i="1"/>
  <c r="F22" i="1"/>
  <c r="E22" i="1"/>
  <c r="E42" i="1" s="1"/>
  <c r="D22" i="1"/>
  <c r="D42" i="1" s="1"/>
  <c r="H16" i="1"/>
  <c r="F16" i="1"/>
  <c r="D16" i="1"/>
  <c r="I25" i="1" l="1"/>
  <c r="I42" i="1" s="1"/>
  <c r="I26" i="1"/>
  <c r="F26" i="1"/>
  <c r="H192" i="1"/>
  <c r="E137" i="1"/>
  <c r="F25" i="1"/>
  <c r="F42" i="1" s="1"/>
  <c r="I94" i="1"/>
  <c r="F137" i="1"/>
  <c r="F120" i="1"/>
  <c r="G202" i="1"/>
  <c r="F206" i="1"/>
  <c r="G206" i="1" s="1"/>
  <c r="H33" i="1"/>
  <c r="H31" i="1"/>
  <c r="H26" i="1" s="1"/>
  <c r="G26" i="1"/>
  <c r="G25" i="1" s="1"/>
  <c r="G42" i="1" s="1"/>
  <c r="H115" i="1"/>
  <c r="H137" i="1" s="1"/>
  <c r="H83" i="1"/>
  <c r="H82" i="1" s="1"/>
  <c r="I137" i="1"/>
  <c r="G169" i="1"/>
  <c r="G215" i="1"/>
  <c r="F219" i="1"/>
  <c r="G219" i="1" s="1"/>
  <c r="G304" i="1"/>
  <c r="G126" i="1"/>
  <c r="H189" i="1"/>
  <c r="H265" i="1"/>
  <c r="H262" i="1" s="1"/>
  <c r="H273" i="1" s="1"/>
  <c r="G323" i="1"/>
  <c r="G324" i="1" s="1"/>
  <c r="H23" i="1"/>
  <c r="H22" i="1" s="1"/>
  <c r="H52" i="1"/>
  <c r="H80" i="1"/>
  <c r="H79" i="1" s="1"/>
  <c r="G121" i="1"/>
  <c r="G237" i="1"/>
  <c r="F169" i="1"/>
  <c r="G294" i="1"/>
  <c r="H25" i="1" l="1"/>
  <c r="H42" i="1"/>
  <c r="G120" i="1"/>
  <c r="G137" i="1" s="1"/>
  <c r="H94" i="1"/>
</calcChain>
</file>

<file path=xl/sharedStrings.xml><?xml version="1.0" encoding="utf-8"?>
<sst xmlns="http://schemas.openxmlformats.org/spreadsheetml/2006/main" count="393" uniqueCount="167">
  <si>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</si>
  <si>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</si>
  <si>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</si>
  <si>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</si>
  <si>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</si>
  <si>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</si>
  <si>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</si>
  <si>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</si>
  <si>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</si>
  <si>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</si>
  <si>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</si>
  <si>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</si>
  <si>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</si>
  <si>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</si>
  <si>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</si>
  <si>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</si>
  <si>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</si>
  <si>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</si>
  <si>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</si>
  <si>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</si>
  <si>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</si>
  <si>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</si>
  <si>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</si>
  <si>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</si>
  <si>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</si>
  <si>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</si>
  <si>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</si>
  <si>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</si>
  <si>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</si>
  <si>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</si>
  <si>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</si>
  <si>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</si>
  <si>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</si>
  <si>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</si>
  <si>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</si>
  <si>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</si>
  <si>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</si>
  <si>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</si>
  <si>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</si>
  <si>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</si>
  <si>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</si>
  <si>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</si>
  <si>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</si>
  <si>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</si>
  <si>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</si>
  <si>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</si>
  <si>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</si>
  <si>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</si>
  <si>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</si>
  <si>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</si>
  <si>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</si>
  <si>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</si>
  <si>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</si>
  <si>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</si>
  <si>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</si>
  <si>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</si>
  <si>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</si>
  <si>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</si>
  <si>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</si>
  <si>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</si>
  <si>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</si>
  <si>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</si>
  <si>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</si>
  <si>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</si>
  <si>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</si>
  <si>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</si>
  <si>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</si>
  <si>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</si>
  <si>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</si>
  <si>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</si>
  <si>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</si>
  <si>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</si>
  <si>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</si>
  <si>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</si>
  <si>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</si>
  <si>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</si>
  <si>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</si>
  <si>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</si>
  <si>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</si>
  <si>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</si>
  <si>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</si>
  <si>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</si>
  <si>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</si>
  <si>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</si>
  <si>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</si>
  <si>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</si>
  <si>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</si>
  <si>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</si>
  <si>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</si>
  <si>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</si>
  <si>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</si>
  <si>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</si>
  <si>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</si>
  <si>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</si>
  <si>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</si>
  <si>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</si>
  <si>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</si>
  <si>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</si>
  <si>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</si>
  <si>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</si>
  <si>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</si>
  <si>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</si>
  <si>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</si>
  <si>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</si>
  <si>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</si>
  <si>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</si>
  <si>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</si>
  <si>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</si>
  <si>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</si>
  <si>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</si>
  <si>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</si>
  <si>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</si>
  <si>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</si>
  <si>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</si>
  <si>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</si>
  <si>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</si>
  <si>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</si>
  <si>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</si>
  <si>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</si>
  <si>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</si>
  <si>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</si>
  <si>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</si>
  <si>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</si>
  <si>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</si>
  <si>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</si>
  <si>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</si>
  <si>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</si>
  <si>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</si>
  <si>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</si>
  <si>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</si>
  <si>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</si>
  <si>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</si>
  <si>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</si>
  <si>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</si>
  <si>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</si>
  <si>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</si>
  <si>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</si>
  <si>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</si>
  <si>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</si>
  <si>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</si>
  <si>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</si>
  <si>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</si>
  <si>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</si>
  <si>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</si>
  <si>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</si>
  <si>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</si>
  <si>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</si>
  <si>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</si>
  <si>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</si>
  <si>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</si>
  <si>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</si>
  <si>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</si>
  <si>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</si>
  <si>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</si>
  <si>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</si>
  <si>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</si>
  <si>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</si>
  <si>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</si>
  <si>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t>2 Registrert rekreasjonsfiske utgjør 35 tonn, men det legges til grunn at hele avsetningen tas</t>
  </si>
  <si>
    <t>4 Registrert rekreasjonsfiske utgjør 138 tonn, men det legges til grunn at hele avsetningen tas</t>
  </si>
  <si>
    <t>3 Registrert rekreasjonsfiske utgjør 504 tonn, men det legges til grunn at hele avsetningen tas</t>
  </si>
  <si>
    <t>FANGST UKE 23</t>
  </si>
  <si>
    <t>FANGST T.O.M UKE 23</t>
  </si>
  <si>
    <t>RESTKVOTER UKE 23</t>
  </si>
  <si>
    <t>FANGST T.O.M UKE 23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</si>
  <si>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0 tonn sei med konvensjonelle redskap som belastes notkvoten.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</si>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</sst>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sz val="8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3" fontId="30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309" zoomScale="112" zoomScaleNormal="55" zoomScaleSheetLayoutView="100" zoomScalePageLayoutView="85" workbookViewId="0">
      <selection activeCell="C325" sqref="C325:J325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27" t="s">
        <v>123</v>
      </c>
      <c r="C2" s="328"/>
      <c r="D2" s="328"/>
      <c r="E2" s="328"/>
      <c r="F2" s="328"/>
      <c r="G2" s="328"/>
      <c r="H2" s="328"/>
      <c r="I2" s="328"/>
      <c r="J2" s="329"/>
    </row>
    <row r="3" spans="1:10" ht="14.85" customHeight="1" x14ac:dyDescent="0.25">
      <c r="A3" s="1"/>
      <c r="B3" s="1"/>
      <c r="C3" s="1" t="s">
        <v>112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112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112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112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112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30"/>
      <c r="C9" s="331"/>
      <c r="D9" s="331"/>
      <c r="E9" s="331"/>
      <c r="F9" s="331"/>
      <c r="G9" s="331"/>
      <c r="H9" s="331"/>
      <c r="I9" s="331"/>
      <c r="J9" s="332"/>
    </row>
    <row r="10" spans="1:10" ht="12" customHeight="1" x14ac:dyDescent="0.2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" customHeight="1" x14ac:dyDescent="0.25">
      <c r="A11" s="152"/>
      <c r="B11" s="50"/>
      <c r="C11" s="324" t="s">
        <v>1</v>
      </c>
      <c r="D11" s="325"/>
      <c r="E11" s="324" t="s">
        <v>2</v>
      </c>
      <c r="F11" s="325"/>
      <c r="G11" s="324" t="s">
        <v>3</v>
      </c>
      <c r="H11" s="325"/>
      <c r="I11" s="173"/>
      <c r="J11" s="267"/>
    </row>
    <row r="12" spans="1:10" ht="14.1" customHeight="1" x14ac:dyDescent="0.2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25">
      <c r="A13" s="1"/>
      <c r="B13" s="277"/>
      <c r="C13" s="110" t="s">
        <v>83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2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25">
      <c r="A15" s="1"/>
      <c r="B15" s="277"/>
      <c r="C15" s="110" t="s">
        <v>73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" customHeight="1" x14ac:dyDescent="0.2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25">
      <c r="A17" s="101"/>
      <c r="B17" s="24"/>
      <c r="C17" s="317" t="s">
        <v>143</v>
      </c>
      <c r="D17" s="317"/>
      <c r="E17" s="317"/>
      <c r="F17" s="317"/>
      <c r="G17" s="317"/>
      <c r="H17" s="317"/>
      <c r="I17" s="101"/>
      <c r="J17" s="157"/>
    </row>
    <row r="18" spans="1:10" ht="15" customHeight="1" x14ac:dyDescent="0.2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2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2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2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1"/>
    </row>
    <row r="22" spans="1:10" ht="14.1" customHeight="1" x14ac:dyDescent="0.25">
      <c r="A22" s="1"/>
      <c r="B22" s="277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106.49550000000001</v>
      </c>
      <c r="G22" s="27">
        <f t="shared" si="0"/>
        <v>19251.449700000001</v>
      </c>
      <c r="H22" s="10">
        <f t="shared" si="0"/>
        <v>22334.550299999999</v>
      </c>
      <c r="I22" s="10">
        <f t="shared" si="0"/>
        <v>36154.422780000001</v>
      </c>
      <c r="J22" s="267"/>
    </row>
    <row r="23" spans="1:10" ht="14.1" customHeight="1" x14ac:dyDescent="0.25">
      <c r="A23" s="1"/>
      <c r="B23" s="277"/>
      <c r="C23" s="43" t="s">
        <v>20</v>
      </c>
      <c r="D23" s="44">
        <v>38040</v>
      </c>
      <c r="E23" s="44">
        <v>40823</v>
      </c>
      <c r="F23" s="22">
        <f>101.8815</f>
        <v>101.8815</v>
      </c>
      <c r="G23" s="22">
        <f>18940.57605</f>
        <v>18940.57605</v>
      </c>
      <c r="H23" s="22">
        <f>E23-G23</f>
        <v>21882.42395</v>
      </c>
      <c r="I23" s="22">
        <f>35684.5032</f>
        <v>35684.503199999999</v>
      </c>
      <c r="J23" s="267"/>
    </row>
    <row r="24" spans="1:10" ht="14.1" customHeight="1" x14ac:dyDescent="0.25">
      <c r="A24" s="1"/>
      <c r="B24" s="277"/>
      <c r="C24" s="47" t="s">
        <v>21</v>
      </c>
      <c r="D24" s="218">
        <v>750</v>
      </c>
      <c r="E24" s="218">
        <v>763</v>
      </c>
      <c r="F24" s="165">
        <f>4.614</f>
        <v>4.6139999999999999</v>
      </c>
      <c r="G24" s="22">
        <f>310.87365</f>
        <v>310.87365</v>
      </c>
      <c r="H24" s="22">
        <f>E24-G24</f>
        <v>452.12635</v>
      </c>
      <c r="I24" s="22">
        <f>469.91958</f>
        <v>469.91958</v>
      </c>
      <c r="J24" s="267"/>
    </row>
    <row r="25" spans="1:10" ht="14.1" customHeight="1" x14ac:dyDescent="0.25">
      <c r="A25" s="1"/>
      <c r="B25" s="277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480.40698000000003</v>
      </c>
      <c r="G25" s="10">
        <f t="shared" si="1"/>
        <v>95866.34289</v>
      </c>
      <c r="H25" s="10">
        <f t="shared" si="1"/>
        <v>25801.657109999996</v>
      </c>
      <c r="I25" s="10">
        <f t="shared" si="1"/>
        <v>115204.28286000001</v>
      </c>
      <c r="J25" s="267"/>
    </row>
    <row r="26" spans="1:10" ht="15" customHeight="1" x14ac:dyDescent="0.2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287.24472000000003</v>
      </c>
      <c r="G26" s="129">
        <f>G27+G28+G29+G30+G31</f>
        <v>75701.262390000004</v>
      </c>
      <c r="H26" s="129">
        <f t="shared" ref="H26:I26" si="2">H27+H28+H29+H30+H31</f>
        <v>19191.737609999996</v>
      </c>
      <c r="I26" s="129">
        <f t="shared" si="2"/>
        <v>91647.121760000009</v>
      </c>
      <c r="J26" s="267"/>
    </row>
    <row r="27" spans="1:10" ht="14.1" customHeight="1" x14ac:dyDescent="0.25">
      <c r="A27" s="192"/>
      <c r="B27" s="176"/>
      <c r="C27" s="60" t="s">
        <v>24</v>
      </c>
      <c r="D27" s="61">
        <v>22698</v>
      </c>
      <c r="E27" s="61">
        <v>25153</v>
      </c>
      <c r="F27" s="209">
        <f>98.6826 - F55</f>
        <v>98.682599999999994</v>
      </c>
      <c r="G27" s="123">
        <f>22141.75249 - G55</f>
        <v>22141.752489999999</v>
      </c>
      <c r="H27" s="123">
        <f t="shared" ref="H27:H39" si="3">E27-G27</f>
        <v>3011.2475100000011</v>
      </c>
      <c r="I27" s="123">
        <f>25172.37807 - I55</f>
        <v>25172.378069999999</v>
      </c>
      <c r="J27" s="63"/>
    </row>
    <row r="28" spans="1:10" ht="14.1" customHeight="1" x14ac:dyDescent="0.25">
      <c r="A28" s="192"/>
      <c r="B28" s="176"/>
      <c r="C28" s="60" t="s">
        <v>25</v>
      </c>
      <c r="D28" s="61">
        <v>22717</v>
      </c>
      <c r="E28" s="61">
        <v>23994</v>
      </c>
      <c r="F28" s="123">
        <f>97.44791 - F56</f>
        <v>97.447909999999993</v>
      </c>
      <c r="G28" s="123">
        <f>21609.07886 - G56</f>
        <v>21609.078860000001</v>
      </c>
      <c r="H28" s="123">
        <f t="shared" si="3"/>
        <v>2384.9211399999986</v>
      </c>
      <c r="I28" s="123">
        <f>26511.5097 - I56</f>
        <v>26511.509699999999</v>
      </c>
      <c r="J28" s="63"/>
    </row>
    <row r="29" spans="1:10" ht="14.1" customHeight="1" x14ac:dyDescent="0.25">
      <c r="A29" s="192"/>
      <c r="B29" s="176"/>
      <c r="C29" s="60" t="s">
        <v>26</v>
      </c>
      <c r="D29" s="61">
        <v>20660</v>
      </c>
      <c r="E29" s="61">
        <v>21870</v>
      </c>
      <c r="F29" s="123">
        <f>88.85746 - F57</f>
        <v>88.857460000000003</v>
      </c>
      <c r="G29" s="123">
        <f>20239.63835 - G57</f>
        <v>20239.638350000001</v>
      </c>
      <c r="H29" s="123">
        <f t="shared" si="3"/>
        <v>1630.3616499999989</v>
      </c>
      <c r="I29" s="123">
        <f>24613.777 - I57</f>
        <v>24613.776999999998</v>
      </c>
      <c r="J29" s="63"/>
    </row>
    <row r="30" spans="1:10" ht="14.1" customHeight="1" x14ac:dyDescent="0.25">
      <c r="A30" s="192"/>
      <c r="B30" s="176"/>
      <c r="C30" s="60" t="s">
        <v>27</v>
      </c>
      <c r="D30" s="61">
        <v>15189</v>
      </c>
      <c r="E30" s="61">
        <v>15645</v>
      </c>
      <c r="F30" s="123">
        <f>42.25675 - F58</f>
        <v>2.2567499999999967</v>
      </c>
      <c r="G30" s="123">
        <f>13499.79269 - G58</f>
        <v>11710.79269</v>
      </c>
      <c r="H30" s="123">
        <f t="shared" si="3"/>
        <v>3934.2073099999998</v>
      </c>
      <c r="I30" s="123">
        <f>17857.45699 - I58</f>
        <v>15349.456989999999</v>
      </c>
      <c r="J30" s="63"/>
    </row>
    <row r="31" spans="1:10" ht="14.1" customHeight="1" x14ac:dyDescent="0.25">
      <c r="A31" s="192"/>
      <c r="B31" s="176"/>
      <c r="C31" s="60" t="s">
        <v>28</v>
      </c>
      <c r="D31" s="61">
        <v>7872</v>
      </c>
      <c r="E31" s="61">
        <v>8231</v>
      </c>
      <c r="F31" s="123">
        <f>F52</f>
        <v>0</v>
      </c>
      <c r="G31" s="123">
        <f>G52</f>
        <v>0</v>
      </c>
      <c r="H31" s="123">
        <f>E31-G31</f>
        <v>8231</v>
      </c>
      <c r="I31" s="123">
        <f>I52</f>
        <v>0</v>
      </c>
      <c r="J31" s="63"/>
    </row>
    <row r="32" spans="1:10" ht="14.1" customHeight="1" x14ac:dyDescent="0.25">
      <c r="A32" s="64"/>
      <c r="B32" s="51"/>
      <c r="C32" s="54" t="s">
        <v>29</v>
      </c>
      <c r="D32" s="55">
        <v>12692</v>
      </c>
      <c r="E32" s="55">
        <v>13679</v>
      </c>
      <c r="F32" s="129">
        <f>64.4379</f>
        <v>64.437899999999999</v>
      </c>
      <c r="G32" s="129">
        <f>7543.88869</f>
        <v>7543.8886899999998</v>
      </c>
      <c r="H32" s="129">
        <f t="shared" si="3"/>
        <v>6135.1113100000002</v>
      </c>
      <c r="I32" s="129">
        <f>9829.4343</f>
        <v>9829.4343000000008</v>
      </c>
      <c r="J32" s="63"/>
    </row>
    <row r="33" spans="1:10" ht="14.1" customHeight="1" x14ac:dyDescent="0.25">
      <c r="A33" s="64"/>
      <c r="B33" s="51"/>
      <c r="C33" s="54" t="s">
        <v>30</v>
      </c>
      <c r="D33" s="55">
        <f>D34+D35</f>
        <v>10834</v>
      </c>
      <c r="E33" s="55">
        <f>E34+E35</f>
        <v>13096</v>
      </c>
      <c r="F33" s="129">
        <f>F34+F35</f>
        <v>128.72435999999999</v>
      </c>
      <c r="G33" s="129">
        <f>G34+G35</f>
        <v>12621.19181</v>
      </c>
      <c r="H33" s="129">
        <f t="shared" si="3"/>
        <v>474.80818999999974</v>
      </c>
      <c r="I33" s="129">
        <f>I34+I35</f>
        <v>13727.7268</v>
      </c>
      <c r="J33" s="63"/>
    </row>
    <row r="34" spans="1:10" ht="14.1" customHeight="1" x14ac:dyDescent="0.25">
      <c r="A34" s="192"/>
      <c r="B34" s="176"/>
      <c r="C34" s="60" t="s">
        <v>31</v>
      </c>
      <c r="D34" s="61">
        <v>9874</v>
      </c>
      <c r="E34" s="61">
        <v>12136</v>
      </c>
      <c r="F34" s="123">
        <f>128.72436 - F59 - F60</f>
        <v>128.72435999999999</v>
      </c>
      <c r="G34" s="129">
        <f>12621.19181 - G59 - G60</f>
        <v>12621.19181</v>
      </c>
      <c r="H34" s="123">
        <f t="shared" si="3"/>
        <v>-485.19181000000026</v>
      </c>
      <c r="I34" s="123">
        <f>13727.7268 - I59 - I60</f>
        <v>13727.7268</v>
      </c>
      <c r="J34" s="63"/>
    </row>
    <row r="35" spans="1:10" ht="14.1" customHeight="1" x14ac:dyDescent="0.25">
      <c r="A35" s="192"/>
      <c r="B35" s="176"/>
      <c r="C35" s="66" t="s">
        <v>32</v>
      </c>
      <c r="D35" s="220">
        <v>960</v>
      </c>
      <c r="E35" s="220">
        <v>960</v>
      </c>
      <c r="F35" s="67">
        <f>F57</f>
        <v>0</v>
      </c>
      <c r="G35" s="67">
        <f>G57</f>
        <v>0</v>
      </c>
      <c r="H35" s="67">
        <f t="shared" si="3"/>
        <v>960</v>
      </c>
      <c r="I35" s="67">
        <f>I57</f>
        <v>0</v>
      </c>
      <c r="J35" s="63"/>
    </row>
    <row r="36" spans="1:10" ht="15.75" customHeight="1" x14ac:dyDescent="0.25">
      <c r="A36" s="1"/>
      <c r="B36" s="277"/>
      <c r="C36" s="70" t="s">
        <v>33</v>
      </c>
      <c r="D36" s="140">
        <v>1000</v>
      </c>
      <c r="E36" s="140">
        <v>1000</v>
      </c>
      <c r="F36" s="136">
        <f>0</f>
        <v>0</v>
      </c>
      <c r="G36" s="136">
        <f>262.2736</f>
        <v>262.27359999999999</v>
      </c>
      <c r="H36" s="136">
        <f t="shared" si="3"/>
        <v>737.72640000000001</v>
      </c>
      <c r="I36" s="136">
        <f>348.3612</f>
        <v>348.3612</v>
      </c>
      <c r="J36" s="267"/>
    </row>
    <row r="37" spans="1:10" ht="14.1" customHeight="1" x14ac:dyDescent="0.25">
      <c r="A37" s="1"/>
      <c r="B37" s="277"/>
      <c r="C37" s="70" t="s">
        <v>34</v>
      </c>
      <c r="D37" s="140">
        <v>855</v>
      </c>
      <c r="E37" s="140">
        <v>855</v>
      </c>
      <c r="F37" s="95">
        <f>1.5555</f>
        <v>1.5555000000000001</v>
      </c>
      <c r="G37" s="95">
        <f>532.68681</f>
        <v>532.68681000000004</v>
      </c>
      <c r="H37" s="95">
        <f t="shared" si="3"/>
        <v>322.31318999999996</v>
      </c>
      <c r="I37" s="95">
        <f>455.49767</f>
        <v>455.49767000000003</v>
      </c>
      <c r="J37" s="267"/>
    </row>
    <row r="38" spans="1:10" ht="17.25" customHeight="1" x14ac:dyDescent="0.25">
      <c r="A38" s="1"/>
      <c r="B38" s="277"/>
      <c r="C38" s="70" t="s">
        <v>35</v>
      </c>
      <c r="D38" s="140">
        <v>3000</v>
      </c>
      <c r="E38" s="140">
        <v>3000</v>
      </c>
      <c r="F38" s="95">
        <f>F58</f>
        <v>40</v>
      </c>
      <c r="G38" s="95">
        <f>G58</f>
        <v>1789</v>
      </c>
      <c r="H38" s="95">
        <f t="shared" si="3"/>
        <v>1211</v>
      </c>
      <c r="I38" s="95">
        <f>I58</f>
        <v>2508</v>
      </c>
      <c r="J38" s="267"/>
    </row>
    <row r="39" spans="1:10" ht="17.25" customHeight="1" x14ac:dyDescent="0.25">
      <c r="A39" s="1"/>
      <c r="B39" s="277"/>
      <c r="C39" s="70" t="s">
        <v>36</v>
      </c>
      <c r="D39" s="140">
        <v>7000</v>
      </c>
      <c r="E39" s="140">
        <v>7000</v>
      </c>
      <c r="F39" s="95">
        <f>8.57091</f>
        <v>8.5709099999999996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25">
      <c r="A40" s="1"/>
      <c r="B40" s="277"/>
      <c r="C40" s="70" t="s">
        <v>38</v>
      </c>
      <c r="D40" s="140">
        <v>450</v>
      </c>
      <c r="E40" s="140">
        <v>450</v>
      </c>
      <c r="F40" s="95">
        <f>1.74984</f>
        <v>1.7498400000000001</v>
      </c>
      <c r="G40" s="95">
        <f>362.44462</f>
        <v>362.44461999999999</v>
      </c>
      <c r="H40" s="95">
        <f>E40-G40</f>
        <v>87.555380000000014</v>
      </c>
      <c r="I40" s="95">
        <f>314.70661</f>
        <v>314.70661000000001</v>
      </c>
      <c r="J40" s="267"/>
    </row>
    <row r="41" spans="1:10" ht="14.1" customHeight="1" x14ac:dyDescent="0.25">
      <c r="A41" s="1"/>
      <c r="B41" s="277"/>
      <c r="C41" s="70" t="s">
        <v>39</v>
      </c>
      <c r="D41" s="140"/>
      <c r="E41" s="136"/>
      <c r="F41" s="136">
        <f>0</f>
        <v>0</v>
      </c>
      <c r="G41" s="136">
        <f>66.73413</f>
        <v>66.734129999999993</v>
      </c>
      <c r="H41" s="136">
        <f t="shared" ref="H41" si="4">E41-G41</f>
        <v>-66.734129999999993</v>
      </c>
      <c r="I41" s="136">
        <f>109.03868</f>
        <v>109.03868</v>
      </c>
      <c r="J41" s="267"/>
    </row>
    <row r="42" spans="1:10" ht="16.5" customHeight="1" x14ac:dyDescent="0.25">
      <c r="A42" s="1"/>
      <c r="B42" s="277"/>
      <c r="C42" s="71" t="s">
        <v>40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638.77873000000011</v>
      </c>
      <c r="G42" s="73">
        <f t="shared" si="5"/>
        <v>125130.93174999999</v>
      </c>
      <c r="H42" s="73">
        <f t="shared" si="5"/>
        <v>50428.068249999997</v>
      </c>
      <c r="I42" s="73">
        <f t="shared" si="5"/>
        <v>162094.30980000002</v>
      </c>
      <c r="J42" s="267"/>
    </row>
    <row r="43" spans="1:10" ht="14.1" customHeight="1" x14ac:dyDescent="0.25">
      <c r="A43" s="101"/>
      <c r="B43" s="24"/>
      <c r="C43" s="74" t="s">
        <v>124</v>
      </c>
      <c r="D43" s="216"/>
      <c r="E43" s="216"/>
      <c r="F43" s="76"/>
      <c r="G43" s="76"/>
      <c r="H43" s="251"/>
      <c r="I43" s="251"/>
      <c r="J43" s="77"/>
    </row>
    <row r="44" spans="1:10" ht="14.1" customHeight="1" x14ac:dyDescent="0.25">
      <c r="A44" s="101"/>
      <c r="B44" s="24"/>
      <c r="C44" s="78" t="s">
        <v>41</v>
      </c>
      <c r="D44" s="216"/>
      <c r="E44" s="216"/>
      <c r="F44" s="216"/>
      <c r="G44" s="76"/>
      <c r="H44" s="173"/>
      <c r="I44" s="173"/>
      <c r="J44" s="267"/>
    </row>
    <row r="45" spans="1:10" ht="14.1" customHeight="1" x14ac:dyDescent="0.2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" customHeight="1" x14ac:dyDescent="0.25">
      <c r="A46" s="101"/>
      <c r="B46" s="24"/>
      <c r="C46" s="156" t="s">
        <v>139</v>
      </c>
      <c r="D46" s="216"/>
      <c r="E46" s="216"/>
      <c r="F46" s="216"/>
      <c r="G46" s="216"/>
      <c r="H46" s="173"/>
      <c r="I46" s="173"/>
      <c r="J46" s="117"/>
    </row>
    <row r="47" spans="1:10" ht="14.1" customHeight="1" x14ac:dyDescent="0.25">
      <c r="A47" s="101"/>
      <c r="B47" s="24"/>
      <c r="C47" s="101" t="s">
        <v>42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2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25">
      <c r="A49" s="101"/>
      <c r="B49" s="24"/>
      <c r="C49" s="320" t="s">
        <v>43</v>
      </c>
      <c r="D49" s="320"/>
      <c r="E49" s="320"/>
      <c r="F49" s="320"/>
      <c r="G49" s="320"/>
      <c r="H49" s="320"/>
      <c r="I49" s="80"/>
      <c r="J49" s="81"/>
    </row>
    <row r="50" spans="1:10" ht="16.5" customHeight="1" x14ac:dyDescent="0.2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25">
      <c r="A51" s="101"/>
      <c r="B51" s="24"/>
      <c r="C51" s="83" t="s">
        <v>16</v>
      </c>
      <c r="D51" s="68" t="s">
        <v>44</v>
      </c>
      <c r="E51" s="68" t="s">
        <v>121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67"/>
    </row>
    <row r="52" spans="1:10" ht="14.1" customHeight="1" x14ac:dyDescent="0.25">
      <c r="A52" s="101"/>
      <c r="B52" s="24"/>
      <c r="C52" s="15" t="s">
        <v>45</v>
      </c>
      <c r="D52" s="321">
        <v>7872</v>
      </c>
      <c r="E52" s="321">
        <v>8231</v>
      </c>
      <c r="F52" s="10">
        <f>F56+F55+F54+F53</f>
        <v>0</v>
      </c>
      <c r="G52" s="10">
        <f>G56+G55+G54+G53</f>
        <v>0</v>
      </c>
      <c r="H52" s="321">
        <f>E52-G52</f>
        <v>8231</v>
      </c>
      <c r="I52" s="10">
        <f>I56+I55+I54+I53</f>
        <v>0</v>
      </c>
      <c r="J52" s="117"/>
    </row>
    <row r="53" spans="1:10" ht="14.1" customHeight="1" x14ac:dyDescent="0.25">
      <c r="A53" s="101"/>
      <c r="B53" s="24"/>
      <c r="C53" s="60" t="s">
        <v>24</v>
      </c>
      <c r="D53" s="322"/>
      <c r="E53" s="322"/>
      <c r="F53" s="123"/>
      <c r="G53" s="123"/>
      <c r="H53" s="322"/>
      <c r="I53" s="123"/>
      <c r="J53" s="117"/>
    </row>
    <row r="54" spans="1:10" ht="14.1" customHeight="1" x14ac:dyDescent="0.25">
      <c r="A54" s="101"/>
      <c r="B54" s="24"/>
      <c r="C54" s="60" t="s">
        <v>25</v>
      </c>
      <c r="D54" s="322"/>
      <c r="E54" s="322"/>
      <c r="F54" s="123"/>
      <c r="G54" s="123"/>
      <c r="H54" s="322"/>
      <c r="I54" s="123"/>
      <c r="J54" s="267"/>
    </row>
    <row r="55" spans="1:10" ht="14.1" customHeight="1" x14ac:dyDescent="0.25">
      <c r="A55" s="101"/>
      <c r="B55" s="24"/>
      <c r="C55" s="60" t="s">
        <v>26</v>
      </c>
      <c r="D55" s="322"/>
      <c r="E55" s="322"/>
      <c r="F55" s="123"/>
      <c r="G55" s="123"/>
      <c r="H55" s="322"/>
      <c r="I55" s="123"/>
      <c r="J55" s="117"/>
    </row>
    <row r="56" spans="1:10" ht="14.1" customHeight="1" x14ac:dyDescent="0.25">
      <c r="A56" s="101"/>
      <c r="B56" s="24"/>
      <c r="C56" s="84" t="s">
        <v>27</v>
      </c>
      <c r="D56" s="323"/>
      <c r="E56" s="323"/>
      <c r="F56" s="186"/>
      <c r="G56" s="186"/>
      <c r="H56" s="323"/>
      <c r="I56" s="186"/>
      <c r="J56" s="117"/>
    </row>
    <row r="57" spans="1:10" ht="14.1" customHeight="1" x14ac:dyDescent="0.25">
      <c r="A57" s="101"/>
      <c r="B57" s="24"/>
      <c r="C57" s="85" t="s">
        <v>46</v>
      </c>
      <c r="D57" s="92">
        <v>960</v>
      </c>
      <c r="E57" s="92">
        <v>960</v>
      </c>
      <c r="F57" s="92"/>
      <c r="G57" s="92"/>
      <c r="H57" s="92">
        <f>E57-G57</f>
        <v>960</v>
      </c>
      <c r="I57" s="92"/>
      <c r="J57" s="267"/>
    </row>
    <row r="58" spans="1:10" ht="14.1" customHeight="1" x14ac:dyDescent="0.25">
      <c r="A58" s="101"/>
      <c r="B58" s="24"/>
      <c r="C58" s="139" t="s">
        <v>47</v>
      </c>
      <c r="D58" s="136">
        <v>3000</v>
      </c>
      <c r="E58" s="136">
        <v>3000</v>
      </c>
      <c r="F58" s="136">
        <v>40</v>
      </c>
      <c r="G58" s="136">
        <v>1789</v>
      </c>
      <c r="H58" s="136">
        <f>E58-G58</f>
        <v>1211</v>
      </c>
      <c r="I58" s="136">
        <v>2508</v>
      </c>
      <c r="J58" s="117"/>
    </row>
    <row r="59" spans="1:10" ht="14.1" customHeight="1" x14ac:dyDescent="0.25">
      <c r="A59" s="101"/>
      <c r="B59" s="24"/>
      <c r="C59" s="74" t="s">
        <v>125</v>
      </c>
      <c r="D59" s="216"/>
      <c r="E59" s="216"/>
      <c r="F59" s="216"/>
      <c r="G59" s="216"/>
      <c r="H59" s="173"/>
      <c r="I59" s="173"/>
      <c r="J59" s="117"/>
    </row>
    <row r="60" spans="1:10" ht="14.1" customHeight="1" x14ac:dyDescent="0.2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2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2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2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2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00000000000001" customHeight="1" x14ac:dyDescent="0.25">
      <c r="B65" s="2"/>
      <c r="C65" s="233" t="s">
        <v>48</v>
      </c>
      <c r="D65" s="2"/>
      <c r="E65" s="2"/>
      <c r="F65" s="2"/>
      <c r="G65" s="2"/>
      <c r="H65" s="2"/>
      <c r="I65" s="2"/>
      <c r="J65" s="2"/>
    </row>
    <row r="66" spans="1:10" ht="3" customHeight="1" x14ac:dyDescent="0.25">
      <c r="B66" s="2"/>
      <c r="C66" s="233"/>
      <c r="D66" s="2"/>
      <c r="E66" s="2"/>
      <c r="F66" s="2"/>
      <c r="G66" s="2"/>
      <c r="H66" s="2"/>
      <c r="I66" s="2"/>
      <c r="J66" s="2"/>
    </row>
    <row r="67" spans="1:10" ht="14.1" customHeight="1" x14ac:dyDescent="0.2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25">
      <c r="B68" s="50"/>
      <c r="C68" s="324" t="s">
        <v>1</v>
      </c>
      <c r="D68" s="325"/>
      <c r="E68" s="324" t="s">
        <v>2</v>
      </c>
      <c r="F68" s="326"/>
      <c r="G68" s="324" t="s">
        <v>3</v>
      </c>
      <c r="H68" s="325"/>
      <c r="I68" s="173"/>
      <c r="J68" s="267"/>
    </row>
    <row r="69" spans="1:10" ht="15" customHeight="1" x14ac:dyDescent="0.25">
      <c r="B69" s="277"/>
      <c r="C69" s="110" t="s">
        <v>142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2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" customHeight="1" x14ac:dyDescent="0.25">
      <c r="B71" s="277"/>
      <c r="C71" s="110" t="s">
        <v>73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25">
      <c r="B72" s="277"/>
      <c r="C72" s="172" t="s">
        <v>49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25">
      <c r="A73" s="1"/>
      <c r="B73" s="277"/>
      <c r="C73" s="101" t="s">
        <v>144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2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" customHeight="1" x14ac:dyDescent="0.2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2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3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25">
      <c r="A78" s="1"/>
      <c r="B78" s="277"/>
      <c r="C78" s="14" t="s">
        <v>16</v>
      </c>
      <c r="D78" s="113" t="s">
        <v>17</v>
      </c>
      <c r="E78" s="14" t="s">
        <v>50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" customHeight="1" x14ac:dyDescent="0.25">
      <c r="A79" s="1"/>
      <c r="B79" s="277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80.694599999999994</v>
      </c>
      <c r="G79" s="10">
        <f t="shared" si="6"/>
        <v>19124.672419999999</v>
      </c>
      <c r="H79" s="10">
        <f t="shared" si="6"/>
        <v>7016.3275800000001</v>
      </c>
      <c r="I79" s="10">
        <f t="shared" si="6"/>
        <v>22903.532520000001</v>
      </c>
      <c r="J79" s="267"/>
    </row>
    <row r="80" spans="1:10" ht="15" customHeight="1" x14ac:dyDescent="0.25">
      <c r="A80" s="1"/>
      <c r="B80" s="277"/>
      <c r="C80" s="43" t="s">
        <v>20</v>
      </c>
      <c r="D80" s="44">
        <v>24216</v>
      </c>
      <c r="E80" s="44">
        <v>25316</v>
      </c>
      <c r="F80" s="22">
        <f>79.3702</f>
        <v>79.370199999999997</v>
      </c>
      <c r="G80" s="22">
        <f>18707.2032</f>
        <v>18707.2032</v>
      </c>
      <c r="H80" s="22">
        <f>E80-G80</f>
        <v>6608.7968000000001</v>
      </c>
      <c r="I80" s="22">
        <f>22132.15807</f>
        <v>22132.158070000001</v>
      </c>
      <c r="J80" s="267"/>
    </row>
    <row r="81" spans="1:10" ht="14.1" customHeight="1" x14ac:dyDescent="0.25">
      <c r="A81" s="1"/>
      <c r="B81" s="277"/>
      <c r="C81" s="62" t="s">
        <v>21</v>
      </c>
      <c r="D81" s="218">
        <v>750</v>
      </c>
      <c r="E81" s="218">
        <v>825</v>
      </c>
      <c r="F81" s="48">
        <f>1.3244</f>
        <v>1.3244</v>
      </c>
      <c r="G81" s="48">
        <f>417.46922</f>
        <v>417.46922000000001</v>
      </c>
      <c r="H81" s="48">
        <f>E81-G81</f>
        <v>407.53077999999999</v>
      </c>
      <c r="I81" s="48">
        <f>771.37445</f>
        <v>771.37445000000002</v>
      </c>
      <c r="J81" s="267"/>
    </row>
    <row r="82" spans="1:10" ht="15.75" customHeight="1" x14ac:dyDescent="0.2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547.99082999999996</v>
      </c>
      <c r="G82" s="10">
        <f t="shared" si="7"/>
        <v>22877.800719999999</v>
      </c>
      <c r="H82" s="10">
        <f t="shared" si="7"/>
        <v>21251.199280000001</v>
      </c>
      <c r="I82" s="10">
        <f t="shared" si="7"/>
        <v>28311.585350000001</v>
      </c>
      <c r="J82" s="267"/>
    </row>
    <row r="83" spans="1:10" ht="14.1" customHeight="1" x14ac:dyDescent="0.2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489.81585999999993</v>
      </c>
      <c r="G83" s="129">
        <f t="shared" si="8"/>
        <v>18160.119849999999</v>
      </c>
      <c r="H83" s="129">
        <f t="shared" si="8"/>
        <v>14344.880150000001</v>
      </c>
      <c r="I83" s="129">
        <f t="shared" si="8"/>
        <v>21697.850149999998</v>
      </c>
      <c r="J83" s="267"/>
    </row>
    <row r="84" spans="1:10" ht="14.1" customHeight="1" x14ac:dyDescent="0.25">
      <c r="A84" s="192"/>
      <c r="B84" s="176"/>
      <c r="C84" s="60" t="s">
        <v>24</v>
      </c>
      <c r="D84" s="61">
        <v>8110</v>
      </c>
      <c r="E84" s="61">
        <v>9004</v>
      </c>
      <c r="F84" s="123">
        <f>74.85064</f>
        <v>74.850639999999999</v>
      </c>
      <c r="G84" s="123">
        <f>2753.4213</f>
        <v>2753.4213</v>
      </c>
      <c r="H84" s="123">
        <f t="shared" ref="H84:H91" si="9">E84-G84</f>
        <v>6250.5787</v>
      </c>
      <c r="I84" s="123">
        <f>3866.73439</f>
        <v>3866.7343900000001</v>
      </c>
      <c r="J84" s="267"/>
    </row>
    <row r="85" spans="1:10" ht="14.1" customHeight="1" x14ac:dyDescent="0.25">
      <c r="A85" s="192"/>
      <c r="B85" s="176"/>
      <c r="C85" s="60" t="s">
        <v>51</v>
      </c>
      <c r="D85" s="61">
        <v>8674</v>
      </c>
      <c r="E85" s="61">
        <v>9075</v>
      </c>
      <c r="F85" s="123">
        <f>186.39236</f>
        <v>186.39236</v>
      </c>
      <c r="G85" s="123">
        <f>4945.20399</f>
        <v>4945.20399</v>
      </c>
      <c r="H85" s="123">
        <f t="shared" si="9"/>
        <v>4129.79601</v>
      </c>
      <c r="I85" s="123">
        <f>7335.46967</f>
        <v>7335.4696700000004</v>
      </c>
      <c r="J85" s="267"/>
    </row>
    <row r="86" spans="1:10" ht="14.1" customHeight="1" x14ac:dyDescent="0.25">
      <c r="A86" s="192"/>
      <c r="B86" s="176"/>
      <c r="C86" s="60" t="s">
        <v>52</v>
      </c>
      <c r="D86" s="61">
        <v>8266</v>
      </c>
      <c r="E86" s="61">
        <v>8649</v>
      </c>
      <c r="F86" s="123">
        <f>168.67664</f>
        <v>168.67663999999999</v>
      </c>
      <c r="G86" s="123">
        <f>6231.41627</f>
        <v>6231.4162699999997</v>
      </c>
      <c r="H86" s="123">
        <f t="shared" si="9"/>
        <v>2417.5837300000003</v>
      </c>
      <c r="I86" s="123">
        <f>6879.98984</f>
        <v>6879.9898400000002</v>
      </c>
      <c r="J86" s="267"/>
    </row>
    <row r="87" spans="1:10" ht="14.1" customHeight="1" x14ac:dyDescent="0.25">
      <c r="A87" s="192"/>
      <c r="B87" s="176"/>
      <c r="C87" s="60" t="s">
        <v>27</v>
      </c>
      <c r="D87" s="61">
        <v>5521</v>
      </c>
      <c r="E87" s="61">
        <v>5777</v>
      </c>
      <c r="F87" s="123">
        <f>59.89622</f>
        <v>59.89622</v>
      </c>
      <c r="G87" s="123">
        <f>4230.07829</f>
        <v>4230.0782900000004</v>
      </c>
      <c r="H87" s="123">
        <f t="shared" si="9"/>
        <v>1546.9217099999996</v>
      </c>
      <c r="I87" s="123">
        <f>3615.65625</f>
        <v>3615.65625</v>
      </c>
      <c r="J87" s="267"/>
    </row>
    <row r="88" spans="1:10" ht="14.1" customHeight="1" x14ac:dyDescent="0.25">
      <c r="A88" s="192"/>
      <c r="B88" s="176"/>
      <c r="C88" s="54" t="s">
        <v>53</v>
      </c>
      <c r="D88" s="55">
        <v>7333</v>
      </c>
      <c r="E88" s="55">
        <v>8117</v>
      </c>
      <c r="F88" s="129">
        <f>30.44498</f>
        <v>30.444980000000001</v>
      </c>
      <c r="G88" s="129">
        <f>3499.88885</f>
        <v>3499.8888499999998</v>
      </c>
      <c r="H88" s="129">
        <f t="shared" si="9"/>
        <v>4617.1111500000006</v>
      </c>
      <c r="I88" s="129">
        <f>4930.19697</f>
        <v>4930.19697</v>
      </c>
      <c r="J88" s="267"/>
    </row>
    <row r="89" spans="1:10" ht="15.75" customHeight="1" x14ac:dyDescent="0.25">
      <c r="A89" s="1"/>
      <c r="B89" s="51"/>
      <c r="C89" s="37" t="s">
        <v>11</v>
      </c>
      <c r="D89" s="59">
        <v>3158</v>
      </c>
      <c r="E89" s="59">
        <v>3507</v>
      </c>
      <c r="F89" s="72">
        <f>27.72999</f>
        <v>27.729990000000001</v>
      </c>
      <c r="G89" s="72">
        <f>1217.79202</f>
        <v>1217.7920200000001</v>
      </c>
      <c r="H89" s="72">
        <f t="shared" si="9"/>
        <v>2289.2079800000001</v>
      </c>
      <c r="I89" s="72">
        <f>1683.53823</f>
        <v>1683.5382300000001</v>
      </c>
      <c r="J89" s="267"/>
    </row>
    <row r="90" spans="1:10" ht="15.75" customHeight="1" x14ac:dyDescent="0.25">
      <c r="A90" s="1"/>
      <c r="B90" s="51"/>
      <c r="C90" s="70" t="s">
        <v>34</v>
      </c>
      <c r="D90" s="86">
        <v>319</v>
      </c>
      <c r="E90" s="86">
        <v>319</v>
      </c>
      <c r="F90" s="95">
        <f>0</f>
        <v>0</v>
      </c>
      <c r="G90" s="95">
        <f>27.17343</f>
        <v>27.17343</v>
      </c>
      <c r="H90" s="95">
        <f t="shared" si="9"/>
        <v>291.82657</v>
      </c>
      <c r="I90" s="95">
        <f>36.10176</f>
        <v>36.101759999999999</v>
      </c>
      <c r="J90" s="267"/>
    </row>
    <row r="91" spans="1:10" ht="18" customHeight="1" x14ac:dyDescent="0.25">
      <c r="A91" s="1"/>
      <c r="B91" s="277"/>
      <c r="C91" s="70" t="s">
        <v>54</v>
      </c>
      <c r="D91" s="140">
        <v>300</v>
      </c>
      <c r="E91" s="140">
        <v>300</v>
      </c>
      <c r="F91" s="136">
        <f>0.10643</f>
        <v>0.10643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25">
      <c r="A92" s="1"/>
      <c r="B92" s="277"/>
      <c r="C92" s="89" t="s">
        <v>38</v>
      </c>
      <c r="D92" s="140">
        <v>50</v>
      </c>
      <c r="E92" s="140">
        <v>50</v>
      </c>
      <c r="F92" s="95">
        <f>0.01477</f>
        <v>1.477E-2</v>
      </c>
      <c r="G92" s="95">
        <f>11.93252</f>
        <v>11.93252</v>
      </c>
      <c r="H92" s="136">
        <f>E92-G92</f>
        <v>38.067480000000003</v>
      </c>
      <c r="I92" s="95">
        <f>19.36606</f>
        <v>19.366060000000001</v>
      </c>
      <c r="J92" s="267"/>
    </row>
    <row r="93" spans="1:10" ht="18" customHeight="1" x14ac:dyDescent="0.25">
      <c r="A93" s="1"/>
      <c r="B93" s="277"/>
      <c r="C93" s="89" t="s">
        <v>55</v>
      </c>
      <c r="D93" s="140"/>
      <c r="E93" s="136"/>
      <c r="F93" s="136">
        <f>0</f>
        <v>0</v>
      </c>
      <c r="G93" s="136">
        <f>11.8549</f>
        <v>11.854900000000001</v>
      </c>
      <c r="H93" s="136">
        <f t="shared" ref="H93" si="10">E93-G93</f>
        <v>-11.854900000000001</v>
      </c>
      <c r="I93" s="136">
        <f>173.13624</f>
        <v>173.13623999999999</v>
      </c>
      <c r="J93" s="267"/>
    </row>
    <row r="94" spans="1:10" ht="16.5" customHeight="1" x14ac:dyDescent="0.25">
      <c r="A94" s="1"/>
      <c r="B94" s="277"/>
      <c r="C94" s="71" t="s">
        <v>40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628.80663000000004</v>
      </c>
      <c r="G94" s="73">
        <f t="shared" si="12"/>
        <v>42353.433990000005</v>
      </c>
      <c r="H94" s="73">
        <f t="shared" si="12"/>
        <v>28585.566010000006</v>
      </c>
      <c r="I94" s="73">
        <f t="shared" si="12"/>
        <v>51743.72193</v>
      </c>
      <c r="J94" s="267"/>
    </row>
    <row r="95" spans="1:10" ht="13.5" customHeight="1" x14ac:dyDescent="0.25">
      <c r="A95" s="1"/>
      <c r="B95" s="277"/>
      <c r="C95" s="74" t="s">
        <v>126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25">
      <c r="A96" s="1"/>
      <c r="B96" s="24"/>
      <c r="C96" s="156" t="s">
        <v>158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25">
      <c r="A97" s="1"/>
      <c r="B97" s="24"/>
      <c r="C97" s="156" t="s">
        <v>166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25">
      <c r="A98" s="1"/>
      <c r="B98" s="24"/>
      <c r="C98" s="251" t="s">
        <v>56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2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25">
      <c r="A100" s="1"/>
      <c r="B100" s="101"/>
      <c r="C100" s="1" t="s">
        <v>112</v>
      </c>
      <c r="D100" s="251"/>
      <c r="E100" s="251"/>
      <c r="F100" s="251"/>
      <c r="G100" s="251"/>
      <c r="H100" s="251"/>
      <c r="I100" s="101"/>
      <c r="J100" s="101" t="s">
        <v>112</v>
      </c>
    </row>
    <row r="101" spans="1:10" ht="14.25" customHeight="1" x14ac:dyDescent="0.25">
      <c r="A101" s="1"/>
      <c r="B101" s="101"/>
      <c r="C101" s="101" t="s">
        <v>112</v>
      </c>
      <c r="D101" s="101" t="s">
        <v>112</v>
      </c>
      <c r="E101" s="101"/>
      <c r="F101" s="101"/>
      <c r="G101" s="101"/>
      <c r="H101" s="101"/>
      <c r="I101" s="101"/>
      <c r="J101" s="101" t="s">
        <v>112</v>
      </c>
    </row>
    <row r="102" spans="1:10" ht="17.100000000000001" customHeight="1" x14ac:dyDescent="0.25">
      <c r="A102" s="223"/>
      <c r="B102" s="223"/>
      <c r="C102" s="233" t="s">
        <v>57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2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" customHeight="1" x14ac:dyDescent="0.2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2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" customHeight="1" x14ac:dyDescent="0.2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" customHeight="1" x14ac:dyDescent="0.2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" customHeight="1" x14ac:dyDescent="0.25">
      <c r="A108" s="1"/>
      <c r="B108" s="277"/>
      <c r="C108" s="271" t="s">
        <v>58</v>
      </c>
      <c r="D108" s="114">
        <v>1650</v>
      </c>
      <c r="E108" s="110" t="s">
        <v>59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" customHeight="1" x14ac:dyDescent="0.25">
      <c r="A109" s="1"/>
      <c r="B109" s="149"/>
      <c r="C109" s="161"/>
      <c r="D109" s="185"/>
      <c r="E109" s="185" t="s">
        <v>60</v>
      </c>
      <c r="F109" s="114">
        <v>4267</v>
      </c>
      <c r="G109" s="110"/>
      <c r="H109" s="161"/>
      <c r="I109" s="173"/>
      <c r="J109" s="267"/>
    </row>
    <row r="110" spans="1:10" ht="12" customHeight="1" x14ac:dyDescent="0.25">
      <c r="A110" s="1"/>
      <c r="B110" s="277"/>
      <c r="C110" s="172" t="s">
        <v>49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25">
      <c r="A111" s="101"/>
      <c r="B111" s="24"/>
      <c r="C111" s="101" t="s">
        <v>127</v>
      </c>
      <c r="D111" s="101"/>
      <c r="E111" s="101"/>
      <c r="F111" s="101"/>
      <c r="G111" s="101"/>
      <c r="H111" s="101"/>
      <c r="I111" s="101"/>
      <c r="J111" s="157"/>
    </row>
    <row r="112" spans="1:10" ht="17.100000000000001" customHeight="1" x14ac:dyDescent="0.2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2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25">
      <c r="A114" s="152"/>
      <c r="B114" s="50"/>
      <c r="C114" s="286" t="s">
        <v>16</v>
      </c>
      <c r="D114" s="14" t="s">
        <v>17</v>
      </c>
      <c r="E114" s="14" t="s">
        <v>61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1"/>
    </row>
    <row r="115" spans="1:10" ht="14.1" customHeight="1" x14ac:dyDescent="0.25">
      <c r="A115" s="1"/>
      <c r="B115" s="277"/>
      <c r="C115" s="15" t="s">
        <v>62</v>
      </c>
      <c r="D115" s="27">
        <f>D116+D117+D118</f>
        <v>64787</v>
      </c>
      <c r="E115" s="27">
        <f>E116+E117+E118</f>
        <v>72290</v>
      </c>
      <c r="F115" s="10">
        <f t="shared" ref="F115:I115" si="13">F116+F117+F118</f>
        <v>177.24149999999997</v>
      </c>
      <c r="G115" s="10">
        <f t="shared" si="13"/>
        <v>29451.883409999999</v>
      </c>
      <c r="H115" s="10">
        <f t="shared" si="13"/>
        <v>42838.116589999998</v>
      </c>
      <c r="I115" s="10">
        <f t="shared" si="13"/>
        <v>38398.662389999998</v>
      </c>
      <c r="J115" s="267"/>
    </row>
    <row r="116" spans="1:10" ht="14.1" customHeight="1" x14ac:dyDescent="0.25">
      <c r="A116" s="1"/>
      <c r="B116" s="277"/>
      <c r="C116" s="43" t="s">
        <v>20</v>
      </c>
      <c r="D116" s="44">
        <v>51830</v>
      </c>
      <c r="E116" s="44">
        <v>57471</v>
      </c>
      <c r="F116" s="22">
        <f>176.1777</f>
        <v>176.17769999999999</v>
      </c>
      <c r="G116" s="22">
        <f>26118.61307</f>
        <v>26118.613069999999</v>
      </c>
      <c r="H116" s="22">
        <f>E116-G116</f>
        <v>31352.386930000001</v>
      </c>
      <c r="I116" s="22">
        <f>34066.98504</f>
        <v>34066.98504</v>
      </c>
      <c r="J116" s="267"/>
    </row>
    <row r="117" spans="1:10" ht="15" customHeight="1" x14ac:dyDescent="0.25">
      <c r="A117" s="1"/>
      <c r="B117" s="277"/>
      <c r="C117" s="43" t="s">
        <v>21</v>
      </c>
      <c r="D117" s="44">
        <v>12457</v>
      </c>
      <c r="E117" s="44">
        <v>14319</v>
      </c>
      <c r="F117" s="22">
        <f>1.0638</f>
        <v>1.0638000000000001</v>
      </c>
      <c r="G117" s="22">
        <f>3267.91274</f>
        <v>3267.9127400000002</v>
      </c>
      <c r="H117" s="22">
        <f>E117-G117</f>
        <v>11051.08726</v>
      </c>
      <c r="I117" s="22">
        <f>4266.2272</f>
        <v>4266.2272000000003</v>
      </c>
      <c r="J117" s="267"/>
    </row>
    <row r="118" spans="1:10" ht="13.5" customHeight="1" x14ac:dyDescent="0.25">
      <c r="A118" s="1"/>
      <c r="B118" s="277"/>
      <c r="C118" s="47" t="s">
        <v>63</v>
      </c>
      <c r="D118" s="32">
        <v>500</v>
      </c>
      <c r="E118" s="32">
        <v>500</v>
      </c>
      <c r="F118" s="22">
        <f>0</f>
        <v>0</v>
      </c>
      <c r="G118" s="22">
        <f>65.3576</f>
        <v>65.357600000000005</v>
      </c>
      <c r="H118" s="53">
        <f>E118-G118</f>
        <v>434.64240000000001</v>
      </c>
      <c r="I118" s="22">
        <f>65.45015</f>
        <v>65.450149999999994</v>
      </c>
      <c r="J118" s="267"/>
    </row>
    <row r="119" spans="1:10" ht="14.25" customHeight="1" x14ac:dyDescent="0.25">
      <c r="A119" s="65"/>
      <c r="B119" s="75"/>
      <c r="C119" s="85" t="s">
        <v>64</v>
      </c>
      <c r="D119" s="87">
        <v>43775</v>
      </c>
      <c r="E119" s="87">
        <v>52305</v>
      </c>
      <c r="F119" s="92">
        <f>1175.7692</f>
        <v>1175.7692</v>
      </c>
      <c r="G119" s="92">
        <f>13789.88015</f>
        <v>13789.880150000001</v>
      </c>
      <c r="H119" s="92">
        <f>E119-G119</f>
        <v>38515.119850000003</v>
      </c>
      <c r="I119" s="92">
        <f>7123.46576</f>
        <v>7123.46576</v>
      </c>
      <c r="J119" s="111"/>
    </row>
    <row r="120" spans="1:10" ht="15.75" customHeight="1" x14ac:dyDescent="0.25">
      <c r="A120" s="1"/>
      <c r="B120" s="277"/>
      <c r="C120" s="139" t="s">
        <v>22</v>
      </c>
      <c r="D120" s="140">
        <f>D121+D126+D129</f>
        <v>67996</v>
      </c>
      <c r="E120" s="140">
        <f>E121+E126+E129</f>
        <v>72895</v>
      </c>
      <c r="F120" s="91">
        <f>F121+F126+F129</f>
        <v>577.85343</v>
      </c>
      <c r="G120" s="91">
        <f t="shared" ref="G120" si="14">G121+G126+G129</f>
        <v>35045.299469999998</v>
      </c>
      <c r="H120" s="91">
        <f>H121+H126+H129</f>
        <v>37849.700530000002</v>
      </c>
      <c r="I120" s="91">
        <f>I121+I126+I129</f>
        <v>47008.554949999991</v>
      </c>
      <c r="J120" s="117"/>
    </row>
    <row r="121" spans="1:10" ht="14.1" customHeight="1" x14ac:dyDescent="0.25">
      <c r="A121" s="1"/>
      <c r="B121" s="50"/>
      <c r="C121" s="118" t="s">
        <v>65</v>
      </c>
      <c r="D121" s="119">
        <f>D122+D123+D124+D125</f>
        <v>51362</v>
      </c>
      <c r="E121" s="119">
        <f>E122+E123+E124+E125</f>
        <v>54734</v>
      </c>
      <c r="F121" s="121">
        <f>F122+F123+F124+F125</f>
        <v>441.84718999999996</v>
      </c>
      <c r="G121" s="121">
        <f>G122+G123+G125+G124</f>
        <v>25873.504660000002</v>
      </c>
      <c r="H121" s="121">
        <f>H122+H123+H124+H125</f>
        <v>28860.495340000001</v>
      </c>
      <c r="I121" s="121">
        <f>I122+I123+I124+I125</f>
        <v>35029.497599999995</v>
      </c>
      <c r="J121" s="301"/>
    </row>
    <row r="122" spans="1:10" ht="14.1" customHeight="1" x14ac:dyDescent="0.25">
      <c r="A122" s="192"/>
      <c r="B122" s="122"/>
      <c r="C122" s="60" t="s">
        <v>24</v>
      </c>
      <c r="D122" s="61">
        <v>13661</v>
      </c>
      <c r="E122" s="61">
        <v>16279</v>
      </c>
      <c r="F122" s="123">
        <f>106.65283</f>
        <v>106.65282999999999</v>
      </c>
      <c r="G122" s="123">
        <f>5851.49598</f>
        <v>5851.4959799999997</v>
      </c>
      <c r="H122" s="123">
        <f>E122-G122</f>
        <v>10427.50402</v>
      </c>
      <c r="I122" s="123">
        <f>6453.21235</f>
        <v>6453.2123499999998</v>
      </c>
      <c r="J122" s="125"/>
    </row>
    <row r="123" spans="1:10" ht="14.1" customHeight="1" x14ac:dyDescent="0.25">
      <c r="A123" s="192"/>
      <c r="B123" s="176"/>
      <c r="C123" s="60" t="s">
        <v>51</v>
      </c>
      <c r="D123" s="61">
        <v>14094</v>
      </c>
      <c r="E123" s="61">
        <v>13937</v>
      </c>
      <c r="F123" s="123">
        <f>51.53372</f>
        <v>51.533720000000002</v>
      </c>
      <c r="G123" s="123">
        <f>7672.27534</f>
        <v>7672.2753400000001</v>
      </c>
      <c r="H123" s="123">
        <f>E123-G123</f>
        <v>6264.7246599999999</v>
      </c>
      <c r="I123" s="123">
        <f>10345.18536</f>
        <v>10345.185359999999</v>
      </c>
      <c r="J123" s="126"/>
    </row>
    <row r="124" spans="1:10" ht="14.1" customHeight="1" x14ac:dyDescent="0.25">
      <c r="A124" s="192"/>
      <c r="B124" s="176"/>
      <c r="C124" s="60" t="s">
        <v>52</v>
      </c>
      <c r="D124" s="61">
        <v>12169</v>
      </c>
      <c r="E124" s="61">
        <v>11676</v>
      </c>
      <c r="F124" s="123">
        <f>158.31643</f>
        <v>158.31643</v>
      </c>
      <c r="G124" s="123">
        <f>6088.43633</f>
        <v>6088.4363300000005</v>
      </c>
      <c r="H124" s="123">
        <f>E124-G124</f>
        <v>5587.5636699999995</v>
      </c>
      <c r="I124" s="123">
        <f>9253.84538</f>
        <v>9253.8453800000007</v>
      </c>
      <c r="J124" s="126"/>
    </row>
    <row r="125" spans="1:10" ht="14.1" customHeight="1" x14ac:dyDescent="0.25">
      <c r="A125" s="192"/>
      <c r="B125" s="176"/>
      <c r="C125" s="60" t="s">
        <v>27</v>
      </c>
      <c r="D125" s="61">
        <v>11438</v>
      </c>
      <c r="E125" s="61">
        <v>12842</v>
      </c>
      <c r="F125" s="123">
        <f>125.34421</f>
        <v>125.34421</v>
      </c>
      <c r="G125" s="123">
        <f>6261.29701</f>
        <v>6261.2970100000002</v>
      </c>
      <c r="H125" s="123">
        <f>E125-G125</f>
        <v>6580.7029899999998</v>
      </c>
      <c r="I125" s="123">
        <f>8977.25451</f>
        <v>8977.2545100000007</v>
      </c>
      <c r="J125" s="126"/>
    </row>
    <row r="126" spans="1:10" ht="14.1" customHeight="1" x14ac:dyDescent="0.25">
      <c r="A126" s="64"/>
      <c r="B126" s="51"/>
      <c r="C126" s="54" t="s">
        <v>29</v>
      </c>
      <c r="D126" s="55">
        <f>D127+D128</f>
        <v>7319</v>
      </c>
      <c r="E126" s="55">
        <f>E127+E128</f>
        <v>7031</v>
      </c>
      <c r="F126" s="129">
        <f>SUM(F127:F128)</f>
        <v>21.339559999999999</v>
      </c>
      <c r="G126" s="129">
        <f>SUM(G127:G128)</f>
        <v>5842.0088399999995</v>
      </c>
      <c r="H126" s="129">
        <f>H127+H128</f>
        <v>1188.99116</v>
      </c>
      <c r="I126" s="129">
        <f>SUM(I127:I128)</f>
        <v>8660.3805599999996</v>
      </c>
      <c r="J126" s="130"/>
    </row>
    <row r="127" spans="1:10" ht="14.1" customHeight="1" x14ac:dyDescent="0.25">
      <c r="A127" s="1"/>
      <c r="B127" s="277"/>
      <c r="C127" s="60" t="s">
        <v>66</v>
      </c>
      <c r="D127" s="61">
        <v>6819</v>
      </c>
      <c r="E127" s="61">
        <v>6531</v>
      </c>
      <c r="F127" s="123">
        <f>21.33956</f>
        <v>21.339559999999999</v>
      </c>
      <c r="G127" s="123">
        <f>5712.46987</f>
        <v>5712.4698699999999</v>
      </c>
      <c r="H127" s="123">
        <f t="shared" ref="H127:H135" si="15">E127-G127</f>
        <v>818.5301300000001</v>
      </c>
      <c r="I127" s="123">
        <f>8283.20693</f>
        <v>8283.2069300000003</v>
      </c>
      <c r="J127" s="117"/>
    </row>
    <row r="128" spans="1:10" ht="15" customHeight="1" x14ac:dyDescent="0.25">
      <c r="A128" s="1"/>
      <c r="B128" s="51"/>
      <c r="C128" s="60" t="s">
        <v>67</v>
      </c>
      <c r="D128" s="61">
        <v>500</v>
      </c>
      <c r="E128" s="61">
        <v>500</v>
      </c>
      <c r="F128" s="123">
        <f>0</f>
        <v>0</v>
      </c>
      <c r="G128" s="123">
        <f>129.53897</f>
        <v>129.53897000000001</v>
      </c>
      <c r="H128" s="123">
        <f t="shared" si="15"/>
        <v>370.46102999999999</v>
      </c>
      <c r="I128" s="123">
        <f>377.17363</f>
        <v>377.17363</v>
      </c>
      <c r="J128" s="131"/>
    </row>
    <row r="129" spans="1:10" ht="15.75" customHeight="1" x14ac:dyDescent="0.25">
      <c r="A129" s="1"/>
      <c r="B129" s="277"/>
      <c r="C129" s="37" t="s">
        <v>11</v>
      </c>
      <c r="D129" s="59">
        <v>9315</v>
      </c>
      <c r="E129" s="59">
        <v>11130</v>
      </c>
      <c r="F129" s="72">
        <f>114.66668</f>
        <v>114.66668</v>
      </c>
      <c r="G129" s="72">
        <f>3329.78597</f>
        <v>3329.7859699999999</v>
      </c>
      <c r="H129" s="72">
        <f t="shared" si="15"/>
        <v>7800.2140300000001</v>
      </c>
      <c r="I129" s="72">
        <f>3318.67679</f>
        <v>3318.67679</v>
      </c>
      <c r="J129" s="117"/>
    </row>
    <row r="130" spans="1:10" ht="15.75" customHeight="1" x14ac:dyDescent="0.25">
      <c r="A130" s="1"/>
      <c r="B130" s="277"/>
      <c r="C130" s="139" t="s">
        <v>34</v>
      </c>
      <c r="D130" s="140">
        <v>146</v>
      </c>
      <c r="E130" s="140">
        <v>146</v>
      </c>
      <c r="F130" s="136">
        <f>0</f>
        <v>0</v>
      </c>
      <c r="G130" s="136">
        <f>15.5505</f>
        <v>15.5505</v>
      </c>
      <c r="H130" s="136">
        <f t="shared" si="15"/>
        <v>130.4495</v>
      </c>
      <c r="I130" s="136">
        <f>15.71255</f>
        <v>15.71255</v>
      </c>
      <c r="J130" s="117"/>
    </row>
    <row r="131" spans="1:10" ht="15.75" customHeight="1" x14ac:dyDescent="0.25">
      <c r="A131" s="1"/>
      <c r="B131" s="277"/>
      <c r="C131" s="137" t="s">
        <v>68</v>
      </c>
      <c r="D131" s="86">
        <v>350</v>
      </c>
      <c r="E131" s="86">
        <v>350</v>
      </c>
      <c r="F131" s="95">
        <f>0</f>
        <v>0</v>
      </c>
      <c r="G131" s="95">
        <f>0</f>
        <v>0</v>
      </c>
      <c r="H131" s="95">
        <f t="shared" si="15"/>
        <v>350</v>
      </c>
      <c r="I131" s="95">
        <f>134.604</f>
        <v>134.60400000000001</v>
      </c>
      <c r="J131" s="117"/>
    </row>
    <row r="132" spans="1:10" ht="18" customHeight="1" x14ac:dyDescent="0.25">
      <c r="A132" s="1"/>
      <c r="B132" s="277"/>
      <c r="C132" s="137" t="s">
        <v>69</v>
      </c>
      <c r="D132" s="140">
        <v>2000</v>
      </c>
      <c r="E132" s="140">
        <v>2000</v>
      </c>
      <c r="F132" s="136">
        <f>9.04556</f>
        <v>9.04556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25">
      <c r="A133" s="1"/>
      <c r="B133" s="277"/>
      <c r="C133" s="139" t="s">
        <v>37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25">
      <c r="A134" s="1"/>
      <c r="B134" s="277"/>
      <c r="C134" s="139" t="s">
        <v>70</v>
      </c>
      <c r="D134" s="140">
        <v>313</v>
      </c>
      <c r="E134" s="140">
        <v>313</v>
      </c>
      <c r="F134" s="95">
        <f>0.0074</f>
        <v>7.4000000000000003E-3</v>
      </c>
      <c r="G134" s="95">
        <f>81.82235</f>
        <v>81.82235</v>
      </c>
      <c r="H134" s="136">
        <f t="shared" si="15"/>
        <v>231.17765</v>
      </c>
      <c r="I134" s="95">
        <f>38.14073</f>
        <v>38.140729999999998</v>
      </c>
      <c r="J134" s="117"/>
    </row>
    <row r="135" spans="1:10" ht="15" customHeight="1" x14ac:dyDescent="0.25">
      <c r="A135" s="1"/>
      <c r="B135" s="277"/>
      <c r="C135" s="139" t="s">
        <v>39</v>
      </c>
      <c r="D135" s="142"/>
      <c r="E135" s="140"/>
      <c r="F135" s="136">
        <f>0</f>
        <v>0</v>
      </c>
      <c r="G135" s="136">
        <f>77.28926</f>
        <v>77.289259999999999</v>
      </c>
      <c r="H135" s="136">
        <f t="shared" si="15"/>
        <v>-77.289259999999999</v>
      </c>
      <c r="I135" s="136">
        <f>125.34589</f>
        <v>125.34589</v>
      </c>
      <c r="J135" s="117"/>
    </row>
    <row r="136" spans="1:10" ht="0" hidden="1" customHeight="1" x14ac:dyDescent="0.2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25">
      <c r="A137" s="152"/>
      <c r="B137" s="50"/>
      <c r="C137" s="153" t="s">
        <v>40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1939.9170899999999</v>
      </c>
      <c r="G137" s="73">
        <f>G115+G119+G120+G130+G131+G132+G133+G134+G135</f>
        <v>80461.725139999995</v>
      </c>
      <c r="H137" s="73">
        <f>H115+H119+H120+H130+H131+H132+H133+H134+H135</f>
        <v>119837.27486</v>
      </c>
      <c r="I137" s="73">
        <f>I115+I119+I120+I130+I131+I132+I133+I134+I135</f>
        <v>94844.486269999994</v>
      </c>
      <c r="J137" s="155"/>
    </row>
    <row r="138" spans="1:10" ht="14.25" customHeight="1" x14ac:dyDescent="0.25">
      <c r="A138" s="152"/>
      <c r="B138" s="50"/>
      <c r="C138" s="156" t="s">
        <v>71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25">
      <c r="A139" s="152"/>
      <c r="B139" s="50"/>
      <c r="C139" s="101" t="s">
        <v>128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25">
      <c r="A140" s="152"/>
      <c r="B140" s="50"/>
      <c r="C140" s="156" t="s">
        <v>165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2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25">
      <c r="A142" s="152"/>
      <c r="B142" s="50"/>
      <c r="C142" s="156" t="s">
        <v>131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25">
      <c r="A143" s="152"/>
      <c r="B143" s="50"/>
      <c r="C143" s="74" t="s">
        <v>137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2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2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2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25">
      <c r="A147" s="1" t="s">
        <v>112</v>
      </c>
      <c r="B147" s="2"/>
      <c r="C147" s="233" t="s">
        <v>72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2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25">
      <c r="A149" s="1" t="s">
        <v>112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" customHeight="1" x14ac:dyDescent="0.25">
      <c r="A150" s="1" t="s">
        <v>112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" customHeight="1" x14ac:dyDescent="0.2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" customHeight="1" x14ac:dyDescent="0.2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" customHeight="1" x14ac:dyDescent="0.25">
      <c r="A153" s="1"/>
      <c r="B153" s="277"/>
      <c r="C153" s="172" t="s">
        <v>73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" customHeight="1" x14ac:dyDescent="0.25">
      <c r="A154" s="1"/>
      <c r="B154" s="277"/>
      <c r="C154" s="172" t="s">
        <v>49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" customHeight="1" x14ac:dyDescent="0.2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2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2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2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2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1"/>
    </row>
    <row r="160" spans="1:10" ht="14.1" customHeight="1" x14ac:dyDescent="0.25">
      <c r="A160" s="1"/>
      <c r="B160" s="277"/>
      <c r="C160" s="138" t="s">
        <v>74</v>
      </c>
      <c r="D160" s="91">
        <v>3762</v>
      </c>
      <c r="E160" s="297">
        <f>53.15568</f>
        <v>53.155679999999997</v>
      </c>
      <c r="F160" s="297">
        <f>557.41074</f>
        <v>557.41074000000003</v>
      </c>
      <c r="G160" s="42">
        <f>D160-F160-F161</f>
        <v>2372.3750099999997</v>
      </c>
      <c r="H160" s="297">
        <f>489.42698</f>
        <v>489.42698000000001</v>
      </c>
      <c r="I160" s="1"/>
      <c r="J160" s="117"/>
    </row>
    <row r="161" spans="1:10" ht="14.1" customHeight="1" x14ac:dyDescent="0.25">
      <c r="A161" s="1"/>
      <c r="B161" s="277"/>
      <c r="C161" s="133" t="s">
        <v>53</v>
      </c>
      <c r="D161" s="175"/>
      <c r="E161" s="148">
        <f>0</f>
        <v>0</v>
      </c>
      <c r="F161" s="148">
        <f>832.21425</f>
        <v>832.21424999999999</v>
      </c>
      <c r="G161" s="219"/>
      <c r="H161" s="148">
        <f>1168.92722</f>
        <v>1168.92722</v>
      </c>
      <c r="I161" s="1"/>
      <c r="J161" s="117"/>
    </row>
    <row r="162" spans="1:10" ht="15.6" customHeight="1" x14ac:dyDescent="0.25">
      <c r="A162" s="1"/>
      <c r="B162" s="277"/>
      <c r="C162" s="163" t="s">
        <v>75</v>
      </c>
      <c r="D162" s="95">
        <v>200</v>
      </c>
      <c r="E162" s="166">
        <f>3.167</f>
        <v>3.1669999999999998</v>
      </c>
      <c r="F162" s="166">
        <f>55.14434</f>
        <v>55.14434</v>
      </c>
      <c r="G162" s="166">
        <f>D162-F162</f>
        <v>144.85566</v>
      </c>
      <c r="H162" s="166">
        <f>67.52874</f>
        <v>67.528739999999999</v>
      </c>
      <c r="I162" s="1"/>
      <c r="J162" s="117"/>
    </row>
    <row r="163" spans="1:10" ht="14.1" customHeight="1" x14ac:dyDescent="0.25">
      <c r="A163" s="65"/>
      <c r="B163" s="75"/>
      <c r="C163" s="174" t="s">
        <v>76</v>
      </c>
      <c r="D163" s="175">
        <v>5642</v>
      </c>
      <c r="E163" s="175">
        <f>E164+E165+E166</f>
        <v>1199.07855</v>
      </c>
      <c r="F163" s="175">
        <f>F164+F165+F166</f>
        <v>3408.6621</v>
      </c>
      <c r="G163" s="175">
        <f>D163-F163</f>
        <v>2233.3379</v>
      </c>
      <c r="H163" s="175">
        <f>H164+H165+H166</f>
        <v>2766.5366300000001</v>
      </c>
      <c r="I163" s="65"/>
      <c r="J163" s="111"/>
    </row>
    <row r="164" spans="1:10" ht="14.1" customHeight="1" x14ac:dyDescent="0.25">
      <c r="A164" s="192"/>
      <c r="B164" s="176"/>
      <c r="C164" s="177" t="s">
        <v>77</v>
      </c>
      <c r="D164" s="123"/>
      <c r="E164" s="123">
        <f>792.60985</f>
        <v>792.60985000000005</v>
      </c>
      <c r="F164" s="123">
        <f>1768.06711</f>
        <v>1768.06711</v>
      </c>
      <c r="G164" s="123"/>
      <c r="H164" s="123">
        <f>1223.40107</f>
        <v>1223.4010699999999</v>
      </c>
      <c r="I164" s="181"/>
      <c r="J164" s="126"/>
    </row>
    <row r="165" spans="1:10" ht="14.1" customHeight="1" x14ac:dyDescent="0.25">
      <c r="A165" s="192"/>
      <c r="B165" s="176"/>
      <c r="C165" s="177" t="s">
        <v>78</v>
      </c>
      <c r="D165" s="123"/>
      <c r="E165" s="123">
        <f>300.4167</f>
        <v>300.41669999999999</v>
      </c>
      <c r="F165" s="123">
        <f>1107.17549</f>
        <v>1107.1754900000001</v>
      </c>
      <c r="G165" s="123"/>
      <c r="H165" s="123">
        <f>857.68046</f>
        <v>857.68046000000004</v>
      </c>
      <c r="I165" s="181"/>
      <c r="J165" s="182"/>
    </row>
    <row r="166" spans="1:10" ht="14.1" customHeight="1" x14ac:dyDescent="0.25">
      <c r="A166" s="192"/>
      <c r="B166" s="176"/>
      <c r="C166" s="183" t="s">
        <v>79</v>
      </c>
      <c r="D166" s="186"/>
      <c r="E166" s="186">
        <f>106.052</f>
        <v>106.05200000000001</v>
      </c>
      <c r="F166" s="186">
        <f>533.4195</f>
        <v>533.41949999999997</v>
      </c>
      <c r="G166" s="186"/>
      <c r="H166" s="186">
        <f>685.4551</f>
        <v>685.45510000000002</v>
      </c>
      <c r="I166" s="181"/>
      <c r="J166" s="182"/>
    </row>
    <row r="167" spans="1:10" ht="14.1" customHeight="1" x14ac:dyDescent="0.25">
      <c r="A167" s="1"/>
      <c r="B167" s="277"/>
      <c r="C167" s="70" t="s">
        <v>80</v>
      </c>
      <c r="D167" s="136">
        <v>71</v>
      </c>
      <c r="E167" s="136">
        <f>0</f>
        <v>0</v>
      </c>
      <c r="F167" s="136">
        <f>5.3531</f>
        <v>5.3531000000000004</v>
      </c>
      <c r="G167" s="136">
        <f>D167-F167</f>
        <v>65.646900000000002</v>
      </c>
      <c r="H167" s="136">
        <f>0</f>
        <v>0</v>
      </c>
      <c r="I167" s="173"/>
      <c r="J167" s="267"/>
    </row>
    <row r="168" spans="1:10" ht="16.5" customHeight="1" x14ac:dyDescent="0.25">
      <c r="A168" s="1"/>
      <c r="B168" s="277"/>
      <c r="C168" s="89" t="s">
        <v>81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50000000000001" customHeight="1" x14ac:dyDescent="0.25">
      <c r="A169" s="152"/>
      <c r="B169" s="50"/>
      <c r="C169" s="71" t="s">
        <v>40</v>
      </c>
      <c r="D169" s="188">
        <f>D160+D162+D163+D167</f>
        <v>9675</v>
      </c>
      <c r="E169" s="188">
        <f>E160+E161+E162+E163+E167+E168</f>
        <v>1255.4012299999999</v>
      </c>
      <c r="F169" s="188">
        <f>F160+F161+F162+F163+F167+F168</f>
        <v>4858.7845300000008</v>
      </c>
      <c r="G169" s="188">
        <f>D169-F169</f>
        <v>4816.2154699999992</v>
      </c>
      <c r="H169" s="188">
        <f>H160+H161+H162+H163+H167+H168</f>
        <v>4492.41957</v>
      </c>
      <c r="I169" s="159"/>
      <c r="J169" s="155"/>
    </row>
    <row r="170" spans="1:10" ht="42" customHeight="1" x14ac:dyDescent="0.25">
      <c r="A170" s="1"/>
      <c r="B170" s="193"/>
      <c r="C170" s="250" t="s">
        <v>132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25">
      <c r="A171" s="152" t="s">
        <v>112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2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25">
      <c r="A173" s="145" t="s">
        <v>112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35">
      <c r="A174" s="145"/>
      <c r="B174" s="1"/>
      <c r="C174" s="213" t="s">
        <v>82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35">
      <c r="A175" s="145" t="s">
        <v>112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2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2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25">
      <c r="A178" s="145"/>
      <c r="B178" s="277"/>
      <c r="C178" s="281" t="s">
        <v>83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25">
      <c r="A179" s="145"/>
      <c r="B179" s="277"/>
      <c r="C179" s="271" t="s">
        <v>84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25">
      <c r="A180" s="145"/>
      <c r="B180" s="277"/>
      <c r="C180" s="271" t="s">
        <v>85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25">
      <c r="A181" s="145"/>
      <c r="B181" s="277"/>
      <c r="C181" s="57" t="s">
        <v>49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25">
      <c r="A182" s="1"/>
      <c r="B182" s="277"/>
      <c r="C182" s="101" t="s">
        <v>133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25">
      <c r="A183" s="1"/>
      <c r="B183" s="277"/>
      <c r="C183" s="101" t="s">
        <v>134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25">
      <c r="A184" s="1"/>
      <c r="B184" s="277"/>
      <c r="C184" s="101" t="s">
        <v>135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2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2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2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25">
      <c r="A188" s="1"/>
      <c r="B188" s="277"/>
      <c r="C188" s="68" t="s">
        <v>16</v>
      </c>
      <c r="D188" s="210" t="s">
        <v>2</v>
      </c>
      <c r="E188" s="14" t="s">
        <v>140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25">
      <c r="A189" s="1"/>
      <c r="B189" s="277"/>
      <c r="C189" s="90" t="s">
        <v>4</v>
      </c>
      <c r="D189" s="124">
        <v>44142</v>
      </c>
      <c r="E189" s="124">
        <v>43335</v>
      </c>
      <c r="F189" s="124">
        <f>2237.84703</f>
        <v>2237.8470299999999</v>
      </c>
      <c r="G189" s="124">
        <f>28600.80363</f>
        <v>28600.803629999999</v>
      </c>
      <c r="H189" s="124">
        <f>D189-G189</f>
        <v>15541.196370000001</v>
      </c>
      <c r="I189" s="124">
        <f>26894.42493</f>
        <v>26894.424930000001</v>
      </c>
      <c r="J189" s="117"/>
    </row>
    <row r="190" spans="1:10" ht="15" customHeight="1" x14ac:dyDescent="0.25">
      <c r="A190" s="1"/>
      <c r="B190" s="277"/>
      <c r="C190" s="90" t="s">
        <v>67</v>
      </c>
      <c r="D190" s="124">
        <v>100</v>
      </c>
      <c r="E190" s="124">
        <v>100</v>
      </c>
      <c r="F190" s="124">
        <f>0.1596</f>
        <v>0.15959999999999999</v>
      </c>
      <c r="G190" s="124">
        <f>19.03046</f>
        <v>19.030460000000001</v>
      </c>
      <c r="H190" s="124">
        <f>D190-G190</f>
        <v>80.969539999999995</v>
      </c>
      <c r="I190" s="124">
        <f>24.18408</f>
        <v>24.184080000000002</v>
      </c>
      <c r="J190" s="117"/>
    </row>
    <row r="191" spans="1:10" ht="15.75" customHeight="1" x14ac:dyDescent="0.25">
      <c r="A191" s="1"/>
      <c r="B191" s="277"/>
      <c r="C191" s="146" t="s">
        <v>80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D191-G191</f>
        <v>36</v>
      </c>
      <c r="I191" s="136">
        <f>0</f>
        <v>0</v>
      </c>
      <c r="J191" s="117"/>
    </row>
    <row r="192" spans="1:10" ht="16.5" customHeight="1" x14ac:dyDescent="0.25">
      <c r="A192" s="1"/>
      <c r="B192" s="277"/>
      <c r="C192" s="179" t="s">
        <v>86</v>
      </c>
      <c r="D192" s="190">
        <f>SUM(D189:D191)</f>
        <v>44278</v>
      </c>
      <c r="E192" s="190">
        <f>SUM(E189:E191)</f>
        <v>43471</v>
      </c>
      <c r="F192" s="190">
        <f>SUM(F189:F191)</f>
        <v>2238.0066299999999</v>
      </c>
      <c r="G192" s="190">
        <f>SUM(G189:G191)</f>
        <v>28619.83409</v>
      </c>
      <c r="H192" s="190">
        <f>D192-G192</f>
        <v>15658.16591</v>
      </c>
      <c r="I192" s="190">
        <f>SUM(I189:I191)</f>
        <v>26918.60901</v>
      </c>
      <c r="J192" s="117"/>
    </row>
    <row r="193" spans="1:10" ht="12" customHeight="1" x14ac:dyDescent="0.25">
      <c r="A193" s="1"/>
      <c r="B193" s="277"/>
      <c r="C193" s="101" t="s">
        <v>87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25">
      <c r="A194" s="1"/>
      <c r="B194" s="160"/>
      <c r="C194" s="104" t="s">
        <v>141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35">
      <c r="A196" s="145"/>
      <c r="B196" s="1"/>
      <c r="C196" s="213" t="s">
        <v>113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35">
      <c r="A197" s="145" t="s">
        <v>112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2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2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2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25">
      <c r="A201" s="1"/>
      <c r="B201" s="277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25">
      <c r="A202" s="1"/>
      <c r="B202" s="277"/>
      <c r="C202" s="90" t="s">
        <v>116</v>
      </c>
      <c r="D202" s="124">
        <v>3987</v>
      </c>
      <c r="E202" s="72">
        <f>E203+E204</f>
        <v>71.437719999999999</v>
      </c>
      <c r="F202" s="72">
        <f>F203+F204</f>
        <v>2611.2777900000001</v>
      </c>
      <c r="G202" s="72">
        <f>D202-F202</f>
        <v>1375.7222099999999</v>
      </c>
      <c r="H202" s="72">
        <f>H203+H204</f>
        <v>2967.51962</v>
      </c>
      <c r="I202" s="271"/>
      <c r="J202" s="117"/>
    </row>
    <row r="203" spans="1:10" ht="15" customHeight="1" x14ac:dyDescent="0.25">
      <c r="A203" s="1"/>
      <c r="B203" s="277"/>
      <c r="C203" s="172" t="s">
        <v>8</v>
      </c>
      <c r="D203" s="124"/>
      <c r="E203" s="72">
        <f>67.70582</f>
        <v>67.705820000000003</v>
      </c>
      <c r="F203" s="72">
        <f>2093.44512</f>
        <v>2093.4451199999999</v>
      </c>
      <c r="G203" s="72"/>
      <c r="H203" s="72">
        <f>2486.28743</f>
        <v>2486.2874299999999</v>
      </c>
      <c r="I203" s="271"/>
      <c r="J203" s="117"/>
    </row>
    <row r="204" spans="1:10" ht="15" customHeight="1" x14ac:dyDescent="0.25">
      <c r="A204" s="1"/>
      <c r="B204" s="277"/>
      <c r="C204" s="172" t="s">
        <v>67</v>
      </c>
      <c r="D204" s="124"/>
      <c r="E204" s="124">
        <f>3.7319</f>
        <v>3.7319</v>
      </c>
      <c r="F204" s="124">
        <f>517.83267</f>
        <v>517.83267000000001</v>
      </c>
      <c r="G204" s="168"/>
      <c r="H204" s="124">
        <f>481.23219</f>
        <v>481.23219</v>
      </c>
      <c r="I204" s="271"/>
      <c r="J204" s="117"/>
    </row>
    <row r="205" spans="1:10" ht="15" customHeight="1" x14ac:dyDescent="0.25">
      <c r="A205" s="1"/>
      <c r="B205" s="277"/>
      <c r="C205" s="90" t="s">
        <v>117</v>
      </c>
      <c r="D205" s="124">
        <v>4613</v>
      </c>
      <c r="E205" s="72">
        <f>169.36322</f>
        <v>169.36322000000001</v>
      </c>
      <c r="F205" s="72">
        <f>3788.49531</f>
        <v>3788.4953099999998</v>
      </c>
      <c r="G205" s="72">
        <f>D205-F205</f>
        <v>824.50469000000021</v>
      </c>
      <c r="H205" s="72">
        <f>4291.02917</f>
        <v>4291.0291699999998</v>
      </c>
      <c r="I205" s="271"/>
      <c r="J205" s="117"/>
    </row>
    <row r="206" spans="1:10" ht="16.5" customHeight="1" x14ac:dyDescent="0.25">
      <c r="A206" s="1"/>
      <c r="B206" s="277"/>
      <c r="C206" s="179" t="s">
        <v>86</v>
      </c>
      <c r="D206" s="190">
        <f>D205+D202</f>
        <v>8600</v>
      </c>
      <c r="E206" s="190">
        <f>SUM(E202,E205)</f>
        <v>240.80094000000003</v>
      </c>
      <c r="F206" s="190">
        <f>SUM(F202,F205)</f>
        <v>6399.7731000000003</v>
      </c>
      <c r="G206" s="190">
        <f>D206-F206</f>
        <v>2200.2268999999997</v>
      </c>
      <c r="H206" s="190">
        <f>SUM(H202,H205)</f>
        <v>7258.5487899999998</v>
      </c>
      <c r="I206" s="271"/>
      <c r="J206" s="117"/>
    </row>
    <row r="207" spans="1:10" ht="19.5" customHeight="1" x14ac:dyDescent="0.2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35">
      <c r="A209" s="145"/>
      <c r="B209" s="1"/>
      <c r="C209" s="213" t="s">
        <v>114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35">
      <c r="A210" s="145" t="s">
        <v>112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2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2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2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25">
      <c r="A214" s="1"/>
      <c r="B214" s="277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25">
      <c r="A215" s="1"/>
      <c r="B215" s="277"/>
      <c r="C215" s="90" t="s">
        <v>116</v>
      </c>
      <c r="D215" s="124">
        <v>5090</v>
      </c>
      <c r="E215" s="72">
        <f>E216+E217</f>
        <v>430.13310999999999</v>
      </c>
      <c r="F215" s="72">
        <f>F216+F217</f>
        <v>2990.74008</v>
      </c>
      <c r="G215" s="72">
        <f>D215-F215</f>
        <v>2099.25992</v>
      </c>
      <c r="H215" s="72">
        <f>H216+H217</f>
        <v>3368.6420899999998</v>
      </c>
      <c r="I215" s="271"/>
      <c r="J215" s="117"/>
    </row>
    <row r="216" spans="1:10" ht="15" customHeight="1" x14ac:dyDescent="0.25">
      <c r="A216" s="1"/>
      <c r="B216" s="277"/>
      <c r="C216" s="172" t="s">
        <v>8</v>
      </c>
      <c r="D216" s="124"/>
      <c r="E216" s="72">
        <f>428.92671</f>
        <v>428.92671000000001</v>
      </c>
      <c r="F216" s="72">
        <f>2711.94679</f>
        <v>2711.94679</v>
      </c>
      <c r="G216" s="72"/>
      <c r="H216" s="72">
        <f>2956.01446</f>
        <v>2956.0144599999999</v>
      </c>
      <c r="I216" s="271"/>
      <c r="J216" s="117"/>
    </row>
    <row r="217" spans="1:10" ht="15" customHeight="1" x14ac:dyDescent="0.25">
      <c r="A217" s="1"/>
      <c r="B217" s="277"/>
      <c r="C217" s="172" t="s">
        <v>67</v>
      </c>
      <c r="D217" s="124"/>
      <c r="E217" s="124">
        <f>1.2064</f>
        <v>1.2063999999999999</v>
      </c>
      <c r="F217" s="124">
        <f>278.79329</f>
        <v>278.79329000000001</v>
      </c>
      <c r="G217" s="168"/>
      <c r="H217" s="124">
        <f>412.62763</f>
        <v>412.62763000000001</v>
      </c>
      <c r="I217" s="271"/>
      <c r="J217" s="117"/>
    </row>
    <row r="218" spans="1:10" ht="15" customHeight="1" x14ac:dyDescent="0.25">
      <c r="A218" s="1"/>
      <c r="B218" s="277"/>
      <c r="C218" s="90" t="s">
        <v>117</v>
      </c>
      <c r="D218" s="124">
        <v>2981</v>
      </c>
      <c r="E218" s="72">
        <f>50.6376</f>
        <v>50.637599999999999</v>
      </c>
      <c r="F218" s="72">
        <f>1521.53041</f>
        <v>1521.5304100000001</v>
      </c>
      <c r="G218" s="72">
        <f>D218-F218</f>
        <v>1459.4695899999999</v>
      </c>
      <c r="H218" s="72">
        <f>1871.4898</f>
        <v>1871.4898000000001</v>
      </c>
      <c r="I218" s="271"/>
      <c r="J218" s="117"/>
    </row>
    <row r="219" spans="1:10" ht="16.5" customHeight="1" x14ac:dyDescent="0.25">
      <c r="A219" s="1"/>
      <c r="B219" s="277"/>
      <c r="C219" s="179" t="s">
        <v>86</v>
      </c>
      <c r="D219" s="190">
        <f>D218+D215</f>
        <v>8071</v>
      </c>
      <c r="E219" s="190">
        <f>SUM(E215,E218)</f>
        <v>480.77071000000001</v>
      </c>
      <c r="F219" s="190">
        <f>SUM(F215,F218)</f>
        <v>4512.2704899999999</v>
      </c>
      <c r="G219" s="190">
        <f>D219-F219</f>
        <v>3558.7295100000001</v>
      </c>
      <c r="H219" s="190">
        <f>SUM(H215,H218)</f>
        <v>5240.1318899999997</v>
      </c>
      <c r="I219" s="271"/>
      <c r="J219" s="117"/>
    </row>
    <row r="220" spans="1:10" ht="19.5" customHeight="1" x14ac:dyDescent="0.2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25">
      <c r="A222" s="223"/>
      <c r="B222" s="223"/>
      <c r="C222" s="233" t="s">
        <v>88</v>
      </c>
      <c r="D222" s="223"/>
      <c r="E222" s="223"/>
      <c r="F222" s="223"/>
      <c r="G222" s="223"/>
      <c r="H222" s="223"/>
      <c r="I222" s="223"/>
      <c r="J222" s="247"/>
    </row>
    <row r="223" spans="1:10" ht="21.75" customHeight="1" x14ac:dyDescent="0.25">
      <c r="A223" s="223" t="s">
        <v>112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" customHeight="1" x14ac:dyDescent="0.2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" customHeight="1" x14ac:dyDescent="0.2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" customHeight="1" x14ac:dyDescent="0.25">
      <c r="A226" s="1"/>
      <c r="B226" s="277"/>
      <c r="C226" s="281" t="s">
        <v>83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" customHeight="1" x14ac:dyDescent="0.25">
      <c r="A227" s="1"/>
      <c r="B227" s="277"/>
      <c r="C227" s="271" t="s">
        <v>89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" customHeight="1" x14ac:dyDescent="0.25">
      <c r="A228" s="1"/>
      <c r="B228" s="277"/>
      <c r="C228" s="271" t="s">
        <v>90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25">
      <c r="A229" s="1"/>
      <c r="B229" s="277"/>
      <c r="C229" s="271" t="s">
        <v>118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25">
      <c r="A230" s="1"/>
      <c r="B230" s="277"/>
      <c r="C230" s="57" t="s">
        <v>49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" customHeight="1" x14ac:dyDescent="0.25">
      <c r="A231" s="1"/>
      <c r="B231" s="277"/>
      <c r="C231" s="251" t="s">
        <v>91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25">
      <c r="A232" s="1"/>
      <c r="B232" s="277"/>
      <c r="C232" s="101" t="s">
        <v>101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2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2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" customHeight="1" x14ac:dyDescent="0.2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25">
      <c r="A236" s="1"/>
      <c r="B236" s="277"/>
      <c r="C236" s="68" t="s">
        <v>16</v>
      </c>
      <c r="D236" s="266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" customHeight="1" x14ac:dyDescent="0.25">
      <c r="A237" s="65"/>
      <c r="B237" s="75"/>
      <c r="C237" s="90" t="s">
        <v>92</v>
      </c>
      <c r="D237" s="124">
        <v>800</v>
      </c>
      <c r="E237" s="124">
        <f>6.78252</f>
        <v>6.7825199999999999</v>
      </c>
      <c r="F237" s="124">
        <f>221.42627</f>
        <v>221.42626999999999</v>
      </c>
      <c r="G237" s="124">
        <f>D237-F237</f>
        <v>578.57373000000007</v>
      </c>
      <c r="H237" s="124">
        <f>302.23867</f>
        <v>302.23867000000001</v>
      </c>
      <c r="I237" s="65"/>
      <c r="J237" s="267"/>
    </row>
    <row r="238" spans="1:10" ht="14.1" customHeight="1" x14ac:dyDescent="0.25">
      <c r="A238" s="1"/>
      <c r="B238" s="277"/>
      <c r="C238" s="90" t="s">
        <v>93</v>
      </c>
      <c r="D238" s="269">
        <v>2193</v>
      </c>
      <c r="E238" s="124">
        <f>8.22875</f>
        <v>8.2287499999999998</v>
      </c>
      <c r="F238" s="124">
        <f>385.69508</f>
        <v>385.69508000000002</v>
      </c>
      <c r="G238" s="124">
        <f>D238-F238</f>
        <v>1807.30492</v>
      </c>
      <c r="H238" s="124">
        <f>641.49629</f>
        <v>641.49629000000004</v>
      </c>
      <c r="I238" s="173"/>
      <c r="J238" s="111"/>
    </row>
    <row r="239" spans="1:10" ht="16.5" customHeight="1" x14ac:dyDescent="0.25">
      <c r="A239" s="65"/>
      <c r="B239" s="75"/>
      <c r="C239" s="146" t="s">
        <v>80</v>
      </c>
      <c r="D239" s="269">
        <v>10</v>
      </c>
      <c r="E239" s="168">
        <f>0</f>
        <v>0</v>
      </c>
      <c r="F239" s="168">
        <f>0.05414</f>
        <v>5.4140000000000001E-2</v>
      </c>
      <c r="G239" s="124">
        <f>D239-F239</f>
        <v>9.9458599999999997</v>
      </c>
      <c r="H239" s="168">
        <f>3.60962</f>
        <v>3.6096200000000001</v>
      </c>
      <c r="I239" s="65"/>
      <c r="J239" s="272"/>
    </row>
    <row r="240" spans="1:10" ht="18.75" customHeight="1" x14ac:dyDescent="0.25">
      <c r="A240" s="65"/>
      <c r="B240" s="273"/>
      <c r="C240" s="146" t="s">
        <v>94</v>
      </c>
      <c r="D240" s="245"/>
      <c r="E240" s="168">
        <f>0.72232</f>
        <v>0.72231999999999996</v>
      </c>
      <c r="F240" s="168">
        <f>1.92872</f>
        <v>1.92872</v>
      </c>
      <c r="G240" s="124">
        <f>D240-F240</f>
        <v>-1.92872</v>
      </c>
      <c r="H240" s="168">
        <f>0.091</f>
        <v>9.0999999999999998E-2</v>
      </c>
      <c r="I240" s="305"/>
      <c r="J240" s="117"/>
    </row>
    <row r="241" spans="1:10" ht="14.1" customHeight="1" x14ac:dyDescent="0.25">
      <c r="A241" s="1"/>
      <c r="B241" s="277"/>
      <c r="C241" s="179" t="s">
        <v>86</v>
      </c>
      <c r="D241" s="5">
        <f>D226</f>
        <v>3003</v>
      </c>
      <c r="E241" s="190">
        <f>SUM(E237:E240)</f>
        <v>15.73359</v>
      </c>
      <c r="F241" s="190">
        <f>SUM(F237:F240)</f>
        <v>609.10420999999997</v>
      </c>
      <c r="G241" s="190">
        <f>D241-F241</f>
        <v>2393.89579</v>
      </c>
      <c r="H241" s="190">
        <f>H237+H238+H239+H240</f>
        <v>947.43557999999996</v>
      </c>
      <c r="I241" s="1"/>
      <c r="J241" s="117"/>
    </row>
    <row r="242" spans="1:10" ht="14.1" customHeight="1" x14ac:dyDescent="0.2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" customHeight="1" x14ac:dyDescent="0.2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25">
      <c r="A244" s="1"/>
      <c r="C244" s="145" t="s">
        <v>112</v>
      </c>
    </row>
    <row r="245" spans="1:10" ht="14.1" customHeight="1" x14ac:dyDescent="0.25">
      <c r="A245" s="1" t="s">
        <v>112</v>
      </c>
    </row>
    <row r="246" spans="1:10" ht="30" customHeight="1" x14ac:dyDescent="0.35">
      <c r="A246" s="223"/>
      <c r="B246" s="1"/>
      <c r="C246" s="213" t="s">
        <v>95</v>
      </c>
      <c r="D246" s="152"/>
      <c r="E246" s="1"/>
      <c r="F246" s="1"/>
      <c r="G246" s="1"/>
      <c r="H246" s="1"/>
      <c r="I246" s="1"/>
      <c r="J246" s="1"/>
    </row>
    <row r="247" spans="1:10" ht="17.100000000000001" customHeight="1" x14ac:dyDescent="0.2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2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25">
      <c r="B249" s="69"/>
      <c r="C249" s="144" t="s">
        <v>1</v>
      </c>
      <c r="D249" s="180"/>
      <c r="E249" s="144" t="s">
        <v>96</v>
      </c>
      <c r="F249" s="180"/>
      <c r="G249" s="144" t="s">
        <v>97</v>
      </c>
      <c r="H249" s="180"/>
      <c r="I249" s="145"/>
      <c r="J249" s="127"/>
    </row>
    <row r="250" spans="1:10" ht="14.25" customHeight="1" x14ac:dyDescent="0.25">
      <c r="B250" s="69"/>
      <c r="C250" s="281" t="s">
        <v>83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25">
      <c r="B251" s="69"/>
      <c r="C251" s="271" t="s">
        <v>90</v>
      </c>
      <c r="D251" s="46">
        <f>25446+880-1500</f>
        <v>24826</v>
      </c>
      <c r="E251" s="173" t="s">
        <v>93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25">
      <c r="B252" s="69"/>
      <c r="C252" s="271" t="s">
        <v>89</v>
      </c>
      <c r="D252" s="46">
        <v>8940</v>
      </c>
      <c r="E252" s="173" t="s">
        <v>59</v>
      </c>
      <c r="F252" s="45">
        <v>5500</v>
      </c>
      <c r="G252" s="271" t="s">
        <v>98</v>
      </c>
      <c r="H252" s="46">
        <v>5043</v>
      </c>
      <c r="I252" s="145"/>
      <c r="J252" s="127"/>
    </row>
    <row r="253" spans="1:10" ht="14.1" customHeight="1" x14ac:dyDescent="0.25">
      <c r="B253" s="69"/>
      <c r="C253" s="271"/>
      <c r="D253" s="46"/>
      <c r="E253" s="128"/>
      <c r="F253" s="141"/>
      <c r="G253" s="271" t="s">
        <v>99</v>
      </c>
      <c r="H253" s="46">
        <v>1506</v>
      </c>
      <c r="I253" s="145"/>
      <c r="J253" s="127"/>
    </row>
    <row r="254" spans="1:10" ht="14.1" customHeight="1" x14ac:dyDescent="0.25">
      <c r="B254" s="69"/>
      <c r="C254" s="57" t="s">
        <v>49</v>
      </c>
      <c r="D254" s="35">
        <v>71638</v>
      </c>
      <c r="E254" s="167" t="s">
        <v>100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35" customHeight="1" x14ac:dyDescent="0.25">
      <c r="B255" s="69"/>
      <c r="C255" s="204" t="s">
        <v>129</v>
      </c>
      <c r="D255" s="173"/>
      <c r="E255" s="173"/>
      <c r="F255" s="173"/>
      <c r="G255" s="1"/>
      <c r="H255" s="173"/>
      <c r="I255" s="173"/>
      <c r="J255" s="267"/>
    </row>
    <row r="256" spans="1:10" ht="13.35" customHeight="1" x14ac:dyDescent="0.25">
      <c r="B256" s="69"/>
      <c r="C256" s="205" t="s">
        <v>119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2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2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2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2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25">
      <c r="B261" s="69"/>
      <c r="C261" s="246" t="s">
        <v>16</v>
      </c>
      <c r="D261" s="255" t="s">
        <v>17</v>
      </c>
      <c r="E261" s="68" t="s">
        <v>136</v>
      </c>
      <c r="F261" s="246" t="s">
        <v>161</v>
      </c>
      <c r="G261" s="246" t="s">
        <v>162</v>
      </c>
      <c r="H261" s="246" t="s">
        <v>163</v>
      </c>
      <c r="I261" s="246" t="s">
        <v>164</v>
      </c>
      <c r="J261" s="127"/>
    </row>
    <row r="262" spans="1:10" ht="14.1" customHeight="1" x14ac:dyDescent="0.2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242.21547999999999</v>
      </c>
      <c r="G262" s="276">
        <f t="shared" si="17"/>
        <v>4375.8836799999999</v>
      </c>
      <c r="H262" s="276">
        <f>H266+H265+H264+H263</f>
        <v>23360.116320000001</v>
      </c>
      <c r="I262" s="276">
        <f t="shared" si="17"/>
        <v>6510.7498599999999</v>
      </c>
      <c r="J262" s="127"/>
    </row>
    <row r="263" spans="1:10" ht="14.1" customHeight="1" x14ac:dyDescent="0.25">
      <c r="A263" s="223"/>
      <c r="B263" s="69"/>
      <c r="C263" s="278" t="s">
        <v>102</v>
      </c>
      <c r="D263" s="279">
        <v>14132</v>
      </c>
      <c r="E263" s="279">
        <v>16670</v>
      </c>
      <c r="F263" s="280">
        <f>14.74065</f>
        <v>14.74065</v>
      </c>
      <c r="G263" s="280">
        <f>1347.48113</f>
        <v>1347.4811299999999</v>
      </c>
      <c r="H263" s="280">
        <f t="shared" ref="H263:H267" si="18">E263-G263</f>
        <v>15322.51887</v>
      </c>
      <c r="I263" s="280">
        <f>4018.06226</f>
        <v>4018.0622600000002</v>
      </c>
      <c r="J263" s="127"/>
    </row>
    <row r="264" spans="1:10" ht="14.1" customHeight="1" x14ac:dyDescent="0.25">
      <c r="A264" s="223"/>
      <c r="B264" s="69"/>
      <c r="C264" s="282" t="s">
        <v>21</v>
      </c>
      <c r="D264" s="279">
        <v>3678</v>
      </c>
      <c r="E264" s="279">
        <v>4339</v>
      </c>
      <c r="F264" s="280">
        <f>0</f>
        <v>0</v>
      </c>
      <c r="G264" s="280">
        <f>530.47251</f>
        <v>530.47251000000006</v>
      </c>
      <c r="H264" s="280">
        <f t="shared" si="18"/>
        <v>3808.5274899999999</v>
      </c>
      <c r="I264" s="280">
        <f>832.04145</f>
        <v>832.04145000000005</v>
      </c>
      <c r="J264" s="127"/>
    </row>
    <row r="265" spans="1:10" ht="14.1" customHeight="1" x14ac:dyDescent="0.25">
      <c r="A265" s="223"/>
      <c r="B265" s="69"/>
      <c r="C265" s="282" t="s">
        <v>99</v>
      </c>
      <c r="D265" s="279">
        <v>1506</v>
      </c>
      <c r="E265" s="279">
        <v>1571</v>
      </c>
      <c r="F265" s="280">
        <f>18.75363</f>
        <v>18.753630000000001</v>
      </c>
      <c r="G265" s="280">
        <f>952.77325</f>
        <v>952.77324999999996</v>
      </c>
      <c r="H265" s="280">
        <f t="shared" si="18"/>
        <v>618.22675000000004</v>
      </c>
      <c r="I265" s="280">
        <f>1130.50249</f>
        <v>1130.5024900000001</v>
      </c>
      <c r="J265" s="127"/>
    </row>
    <row r="266" spans="1:10" ht="14.1" customHeight="1" x14ac:dyDescent="0.25">
      <c r="A266" s="223"/>
      <c r="B266" s="69"/>
      <c r="C266" s="284" t="s">
        <v>122</v>
      </c>
      <c r="D266" s="285">
        <v>5043</v>
      </c>
      <c r="E266" s="285">
        <v>5156</v>
      </c>
      <c r="F266" s="280">
        <f>208.7212</f>
        <v>208.72120000000001</v>
      </c>
      <c r="G266" s="280">
        <f>1545.15679</f>
        <v>1545.15679</v>
      </c>
      <c r="H266" s="280">
        <f t="shared" si="18"/>
        <v>3610.84321</v>
      </c>
      <c r="I266" s="280">
        <f>530.14366</f>
        <v>530.14365999999995</v>
      </c>
      <c r="J266" s="127"/>
    </row>
    <row r="267" spans="1:10" ht="14.1" customHeight="1" x14ac:dyDescent="0.25">
      <c r="A267" s="223"/>
      <c r="B267" s="69"/>
      <c r="C267" s="287" t="s">
        <v>59</v>
      </c>
      <c r="D267" s="288">
        <v>5500</v>
      </c>
      <c r="E267" s="288">
        <v>5500</v>
      </c>
      <c r="F267" s="290">
        <f>214.489</f>
        <v>214.489</v>
      </c>
      <c r="G267" s="290">
        <f>3937.28624</f>
        <v>3937.2862399999999</v>
      </c>
      <c r="H267" s="290">
        <f t="shared" si="18"/>
        <v>1562.7137600000001</v>
      </c>
      <c r="I267" s="290">
        <f>2014.19042</f>
        <v>2014.1904199999999</v>
      </c>
      <c r="J267" s="127"/>
    </row>
    <row r="268" spans="1:10" ht="14.1" customHeight="1" x14ac:dyDescent="0.2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13.406560000000001</v>
      </c>
      <c r="G268" s="291">
        <f>G270+G269</f>
        <v>1239.2882999999999</v>
      </c>
      <c r="H268" s="291">
        <f>E268-G268</f>
        <v>6760.7116999999998</v>
      </c>
      <c r="I268" s="291">
        <f>I270+I269</f>
        <v>1545.4519</v>
      </c>
      <c r="J268" s="127"/>
    </row>
    <row r="269" spans="1:10" ht="14.1" customHeight="1" x14ac:dyDescent="0.25">
      <c r="A269" s="223"/>
      <c r="B269" s="69"/>
      <c r="C269" s="282" t="s">
        <v>53</v>
      </c>
      <c r="D269" s="293"/>
      <c r="E269" s="279"/>
      <c r="F269" s="280">
        <f>0</f>
        <v>0</v>
      </c>
      <c r="G269" s="280">
        <f>447.82058</f>
        <v>447.82058000000001</v>
      </c>
      <c r="H269" s="280"/>
      <c r="I269" s="280">
        <f>525.57129</f>
        <v>525.57128999999998</v>
      </c>
      <c r="J269" s="127"/>
    </row>
    <row r="270" spans="1:10" ht="14.1" customHeight="1" x14ac:dyDescent="0.25">
      <c r="A270" s="223"/>
      <c r="B270" s="69"/>
      <c r="C270" s="295" t="s">
        <v>103</v>
      </c>
      <c r="D270" s="296"/>
      <c r="E270" s="298"/>
      <c r="F270" s="299">
        <f>13.40656</f>
        <v>13.406560000000001</v>
      </c>
      <c r="G270" s="299">
        <f>791.46772</f>
        <v>791.46771999999999</v>
      </c>
      <c r="H270" s="299"/>
      <c r="I270" s="299">
        <f>1019.88061</f>
        <v>1019.88061</v>
      </c>
      <c r="J270" s="127"/>
    </row>
    <row r="271" spans="1:10" ht="14.1" customHeight="1" x14ac:dyDescent="0.25">
      <c r="A271" s="223"/>
      <c r="B271" s="69"/>
      <c r="C271" s="287" t="s">
        <v>34</v>
      </c>
      <c r="D271" s="288">
        <v>13</v>
      </c>
      <c r="E271" s="288">
        <v>13</v>
      </c>
      <c r="F271" s="290">
        <f>0</f>
        <v>0</v>
      </c>
      <c r="G271" s="290">
        <f>0.5685</f>
        <v>0.56850000000000001</v>
      </c>
      <c r="H271" s="290">
        <f>E271-G271</f>
        <v>12.4315</v>
      </c>
      <c r="I271" s="290">
        <f>0.0264</f>
        <v>2.64E-2</v>
      </c>
      <c r="J271" s="127"/>
    </row>
    <row r="272" spans="1:10" ht="14.1" customHeight="1" x14ac:dyDescent="0.25">
      <c r="A272" s="223"/>
      <c r="B272" s="69"/>
      <c r="C272" s="300" t="s">
        <v>104</v>
      </c>
      <c r="D272" s="303"/>
      <c r="E272" s="304"/>
      <c r="F272" s="290">
        <f>5.21192</f>
        <v>5.2119200000000001</v>
      </c>
      <c r="G272" s="290">
        <f>14.33552</f>
        <v>14.335520000000001</v>
      </c>
      <c r="H272" s="290">
        <f>E272-G272</f>
        <v>-14.335520000000001</v>
      </c>
      <c r="I272" s="290">
        <f>13.68876</f>
        <v>13.68876</v>
      </c>
      <c r="J272" s="127"/>
    </row>
    <row r="273" spans="1:10" ht="19.5" customHeight="1" x14ac:dyDescent="0.25">
      <c r="A273" s="223"/>
      <c r="B273" s="69"/>
      <c r="C273" s="306" t="s">
        <v>40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475.32296000000002</v>
      </c>
      <c r="G273" s="308">
        <f t="shared" si="19"/>
        <v>9567.3622400000004</v>
      </c>
      <c r="H273" s="308">
        <f>H262+H267+H268+H271+H272</f>
        <v>31681.637759999998</v>
      </c>
      <c r="I273" s="308">
        <f t="shared" si="19"/>
        <v>10084.107339999999</v>
      </c>
      <c r="J273" s="127"/>
    </row>
    <row r="274" spans="1:10" ht="14.1" customHeight="1" x14ac:dyDescent="0.25">
      <c r="A274" s="223"/>
      <c r="B274" s="69"/>
      <c r="C274" s="156" t="s">
        <v>105</v>
      </c>
      <c r="D274" s="310"/>
      <c r="E274" s="310"/>
      <c r="F274" s="3"/>
      <c r="G274" s="3"/>
      <c r="H274" s="4"/>
      <c r="I274" s="4"/>
      <c r="J274" s="127"/>
    </row>
    <row r="275" spans="1:10" ht="14.1" customHeight="1" x14ac:dyDescent="0.25">
      <c r="A275" s="223"/>
      <c r="B275" s="69"/>
      <c r="C275" s="101" t="s">
        <v>130</v>
      </c>
      <c r="D275" s="310"/>
      <c r="E275" s="310"/>
      <c r="F275" s="3"/>
      <c r="G275" s="3"/>
      <c r="H275" s="6"/>
      <c r="I275" s="4"/>
      <c r="J275" s="127"/>
    </row>
    <row r="276" spans="1:10" ht="14.1" customHeight="1" x14ac:dyDescent="0.25">
      <c r="A276" s="223"/>
      <c r="B276" s="69"/>
      <c r="C276" s="156" t="s">
        <v>138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2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25">
      <c r="A278" s="223"/>
      <c r="B278" s="145" t="s">
        <v>112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25">
      <c r="A279" s="223"/>
      <c r="C279" s="145" t="s">
        <v>112</v>
      </c>
      <c r="D279" s="152"/>
    </row>
    <row r="280" spans="1:10" ht="14.1" customHeight="1" x14ac:dyDescent="0.2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" customHeight="1" x14ac:dyDescent="0.25">
      <c r="A281" s="223"/>
      <c r="B281" s="69"/>
      <c r="C281" s="233" t="s">
        <v>106</v>
      </c>
      <c r="D281" s="152"/>
      <c r="E281" s="145"/>
      <c r="G281" s="145"/>
      <c r="H281" s="145"/>
      <c r="I281" s="145"/>
      <c r="J281" s="127"/>
    </row>
    <row r="282" spans="1:10" ht="14.1" customHeight="1" x14ac:dyDescent="0.2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" customHeight="1" x14ac:dyDescent="0.2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" customHeight="1" x14ac:dyDescent="0.25">
      <c r="A284" s="223"/>
      <c r="B284" s="69"/>
      <c r="C284" s="281" t="s">
        <v>6</v>
      </c>
      <c r="D284" s="292">
        <v>2681</v>
      </c>
      <c r="E284" s="145"/>
      <c r="F284" s="145"/>
      <c r="G284" s="145"/>
      <c r="H284" s="145"/>
      <c r="I284" s="145"/>
      <c r="J284" s="127"/>
    </row>
    <row r="285" spans="1:10" ht="14.1" customHeight="1" x14ac:dyDescent="0.25">
      <c r="A285" s="223"/>
      <c r="B285" s="69"/>
      <c r="C285" s="271" t="s">
        <v>90</v>
      </c>
      <c r="D285" s="46">
        <v>1753</v>
      </c>
      <c r="E285" s="145"/>
      <c r="G285" s="145"/>
      <c r="H285" s="145"/>
      <c r="I285" s="145"/>
      <c r="J285" s="127"/>
    </row>
    <row r="286" spans="1:10" ht="14.1" customHeight="1" x14ac:dyDescent="0.25">
      <c r="A286" s="223"/>
      <c r="B286" s="69"/>
      <c r="C286" s="271" t="s">
        <v>73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" customHeight="1" x14ac:dyDescent="0.25">
      <c r="A287" s="223"/>
      <c r="B287" s="69"/>
      <c r="C287" s="57" t="s">
        <v>49</v>
      </c>
      <c r="D287" s="35">
        <v>4557</v>
      </c>
      <c r="E287" s="145"/>
      <c r="F287" s="145"/>
      <c r="G287" s="145"/>
      <c r="H287" s="145"/>
      <c r="I287" s="145"/>
      <c r="J287" s="127"/>
    </row>
    <row r="288" spans="1:10" ht="14.1" customHeight="1" x14ac:dyDescent="0.25">
      <c r="A288" s="223"/>
      <c r="B288" s="69"/>
      <c r="C288" s="316" t="s">
        <v>120</v>
      </c>
      <c r="D288" s="316"/>
      <c r="E288" s="316"/>
      <c r="F288" s="316"/>
      <c r="G288" s="208"/>
      <c r="H288" s="208"/>
      <c r="I288" s="145"/>
      <c r="J288" s="127"/>
    </row>
    <row r="289" spans="1:10" ht="14.1" customHeight="1" x14ac:dyDescent="0.2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" customHeight="1" x14ac:dyDescent="0.2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" customHeight="1" x14ac:dyDescent="0.2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2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25">
      <c r="A293" s="223"/>
      <c r="B293" s="193"/>
      <c r="C293" s="19" t="s">
        <v>107</v>
      </c>
      <c r="D293" s="21" t="s">
        <v>108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47"/>
      <c r="J293" s="13"/>
    </row>
    <row r="294" spans="1:10" ht="14.1" customHeight="1" x14ac:dyDescent="0.25">
      <c r="A294" s="223"/>
      <c r="B294" s="69"/>
      <c r="C294" s="287" t="s">
        <v>109</v>
      </c>
      <c r="D294" s="197">
        <v>894</v>
      </c>
      <c r="E294" s="25">
        <f>SUM(E295:E296)</f>
        <v>0</v>
      </c>
      <c r="F294" s="25">
        <f>SUM(F295:F296)</f>
        <v>1023.20588</v>
      </c>
      <c r="G294" s="82">
        <f>D294-F294</f>
        <v>-129.20587999999998</v>
      </c>
      <c r="H294" s="25">
        <f>SUM(H295:H296)</f>
        <v>988.40122999999994</v>
      </c>
      <c r="I294" s="26"/>
      <c r="J294" s="127"/>
    </row>
    <row r="295" spans="1:10" ht="14.1" customHeight="1" x14ac:dyDescent="0.25">
      <c r="A295" s="223"/>
      <c r="B295" s="69"/>
      <c r="C295" s="28" t="s">
        <v>8</v>
      </c>
      <c r="E295" s="198">
        <f>0</f>
        <v>0</v>
      </c>
      <c r="F295" s="198">
        <f>778.94708</f>
        <v>778.94708000000003</v>
      </c>
      <c r="G295" s="199"/>
      <c r="H295" s="198">
        <f>753.71223</f>
        <v>753.71222999999998</v>
      </c>
      <c r="I295" s="145"/>
      <c r="J295" s="127"/>
    </row>
    <row r="296" spans="1:10" ht="14.1" customHeight="1" x14ac:dyDescent="0.25">
      <c r="A296" s="223"/>
      <c r="B296" s="69"/>
      <c r="C296" s="28" t="s">
        <v>11</v>
      </c>
      <c r="D296" s="200"/>
      <c r="E296" s="202">
        <f>0</f>
        <v>0</v>
      </c>
      <c r="F296" s="202">
        <f>244.2588</f>
        <v>244.25880000000001</v>
      </c>
      <c r="G296" s="203"/>
      <c r="H296" s="202">
        <f>234.689</f>
        <v>234.68899999999999</v>
      </c>
      <c r="I296" s="145"/>
      <c r="J296" s="127"/>
    </row>
    <row r="297" spans="1:10" ht="14.1" customHeight="1" x14ac:dyDescent="0.25">
      <c r="A297" s="223"/>
      <c r="B297" s="69"/>
      <c r="C297" s="287" t="s">
        <v>110</v>
      </c>
      <c r="D297" s="9">
        <v>894</v>
      </c>
      <c r="E297" s="25">
        <f>SUM(E298:E299)</f>
        <v>0</v>
      </c>
      <c r="F297" s="25">
        <f>SUM(F298:F299)</f>
        <v>986.36924999999997</v>
      </c>
      <c r="G297" s="82">
        <f>D297-F297</f>
        <v>-92.369249999999965</v>
      </c>
      <c r="H297" s="25">
        <f>SUM(H298:H299)</f>
        <v>1222.0429799999999</v>
      </c>
      <c r="I297" s="26"/>
      <c r="J297" s="127"/>
    </row>
    <row r="298" spans="1:10" ht="14.1" customHeight="1" x14ac:dyDescent="0.25">
      <c r="A298" s="223"/>
      <c r="B298" s="69"/>
      <c r="C298" s="28" t="s">
        <v>8</v>
      </c>
      <c r="D298" s="41"/>
      <c r="E298" s="29">
        <f>0</f>
        <v>0</v>
      </c>
      <c r="F298" s="29">
        <f>763.98023</f>
        <v>763.98023000000001</v>
      </c>
      <c r="G298" s="94"/>
      <c r="H298" s="29">
        <f>982.54229</f>
        <v>982.54228999999998</v>
      </c>
      <c r="I298" s="145"/>
      <c r="J298" s="127"/>
    </row>
    <row r="299" spans="1:10" ht="14.1" customHeight="1" x14ac:dyDescent="0.25">
      <c r="A299" s="223"/>
      <c r="B299" s="69"/>
      <c r="C299" s="28" t="s">
        <v>11</v>
      </c>
      <c r="D299" s="244"/>
      <c r="E299" s="29">
        <f>0</f>
        <v>0</v>
      </c>
      <c r="F299" s="29">
        <f>222.38902</f>
        <v>222.38901999999999</v>
      </c>
      <c r="G299" s="105"/>
      <c r="H299" s="29">
        <f>239.50069</f>
        <v>239.50068999999999</v>
      </c>
      <c r="I299" s="145"/>
      <c r="J299" s="127"/>
    </row>
    <row r="300" spans="1:10" ht="14.1" customHeight="1" x14ac:dyDescent="0.25">
      <c r="A300" s="223"/>
      <c r="B300" s="69"/>
      <c r="C300" s="287" t="s">
        <v>111</v>
      </c>
      <c r="D300" s="9">
        <v>893</v>
      </c>
      <c r="E300" s="34">
        <f>SUM(E301:E302)</f>
        <v>41.093670000000003</v>
      </c>
      <c r="F300" s="34">
        <f>SUM(F301:F302)</f>
        <v>694.92353000000003</v>
      </c>
      <c r="G300" s="82">
        <f>D300-F300</f>
        <v>198.07646999999997</v>
      </c>
      <c r="H300" s="34">
        <f>SUM(H301:H302)</f>
        <v>1086.18741</v>
      </c>
      <c r="I300" s="145"/>
      <c r="J300" s="127"/>
    </row>
    <row r="301" spans="1:10" ht="14.1" customHeight="1" x14ac:dyDescent="0.25">
      <c r="A301" s="223"/>
      <c r="B301" s="69"/>
      <c r="C301" s="28" t="s">
        <v>8</v>
      </c>
      <c r="D301" s="41"/>
      <c r="E301" s="29">
        <f>36.61817</f>
        <v>36.618169999999999</v>
      </c>
      <c r="F301" s="29">
        <f>478.99721</f>
        <v>478.99721</v>
      </c>
      <c r="G301" s="94"/>
      <c r="H301" s="29">
        <f>778.47754</f>
        <v>778.47753999999998</v>
      </c>
      <c r="I301" s="145"/>
      <c r="J301" s="127"/>
    </row>
    <row r="302" spans="1:10" ht="14.1" customHeight="1" x14ac:dyDescent="0.25">
      <c r="A302" s="223"/>
      <c r="B302" s="69"/>
      <c r="C302" s="28" t="s">
        <v>11</v>
      </c>
      <c r="D302" s="244"/>
      <c r="E302" s="29">
        <f>4.4755</f>
        <v>4.4755000000000003</v>
      </c>
      <c r="F302" s="29">
        <f>215.92632</f>
        <v>215.92632</v>
      </c>
      <c r="G302" s="105"/>
      <c r="H302" s="29">
        <f>307.70987</f>
        <v>307.70987000000002</v>
      </c>
      <c r="I302" s="145"/>
      <c r="J302" s="127"/>
    </row>
    <row r="303" spans="1:10" ht="14.1" customHeight="1" x14ac:dyDescent="0.25">
      <c r="A303" s="223"/>
      <c r="B303" s="69"/>
      <c r="C303" s="300" t="s">
        <v>94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" customHeight="1" x14ac:dyDescent="0.25">
      <c r="A304" s="223"/>
      <c r="B304" s="69"/>
      <c r="C304" s="306" t="s">
        <v>86</v>
      </c>
      <c r="D304" s="38">
        <f>D294+D297+D300</f>
        <v>2681</v>
      </c>
      <c r="E304" s="39">
        <f>E294+E297+E300+E303</f>
        <v>41.093670000000003</v>
      </c>
      <c r="F304" s="39">
        <f>F294+F297+F300+F303</f>
        <v>2704.4986600000002</v>
      </c>
      <c r="G304" s="40">
        <f>D304-F304</f>
        <v>-23.4986600000002</v>
      </c>
      <c r="H304" s="39">
        <f>H294+H297+H300+H303</f>
        <v>3296.6316199999997</v>
      </c>
      <c r="I304" s="26"/>
      <c r="J304" s="127"/>
    </row>
    <row r="305" spans="1:10" ht="42" customHeight="1" x14ac:dyDescent="0.25">
      <c r="A305" s="223"/>
      <c r="B305" s="230"/>
      <c r="C305" s="318" t="s">
        <v>115</v>
      </c>
      <c r="D305" s="318"/>
      <c r="E305" s="318"/>
      <c r="F305" s="318"/>
      <c r="G305" s="318"/>
      <c r="H305" s="318"/>
      <c r="I305" s="318"/>
      <c r="J305" s="319"/>
    </row>
    <row r="306" spans="1:10" ht="42" customHeight="1" x14ac:dyDescent="0.2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25">
      <c r="A307" s="223"/>
      <c r="C307" s="145" t="s">
        <v>112</v>
      </c>
      <c r="D307" s="152"/>
    </row>
    <row r="308" spans="1:10" ht="15.6" customHeight="1" x14ac:dyDescent="0.2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8.95" customHeight="1" x14ac:dyDescent="0.25">
      <c r="A309" s="223"/>
      <c r="B309" s="69"/>
      <c r="C309" s="233" t="s">
        <v>145</v>
      </c>
      <c r="D309" s="152"/>
      <c r="E309" s="145"/>
      <c r="G309" s="145"/>
      <c r="H309" s="145"/>
      <c r="I309" s="145"/>
      <c r="J309" s="127"/>
    </row>
    <row r="310" spans="1:10" ht="20.100000000000001" customHeight="1" x14ac:dyDescent="0.2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25">
      <c r="A311" s="223"/>
      <c r="B311" s="69"/>
      <c r="C311" s="210" t="s">
        <v>1</v>
      </c>
      <c r="D311" s="210" t="s">
        <v>146</v>
      </c>
      <c r="E311" s="212" t="s">
        <v>147</v>
      </c>
      <c r="F311" s="145"/>
      <c r="G311" s="145"/>
      <c r="H311" s="145"/>
      <c r="I311" s="145"/>
      <c r="J311" s="127"/>
    </row>
    <row r="312" spans="1:10" ht="18.95" customHeight="1" x14ac:dyDescent="0.2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5.95" customHeight="1" x14ac:dyDescent="0.25">
      <c r="A313" s="223"/>
      <c r="B313" s="69"/>
      <c r="C313" s="110" t="s">
        <v>90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45" customHeight="1" x14ac:dyDescent="0.25">
      <c r="A314" s="223"/>
      <c r="B314" s="69"/>
      <c r="C314" s="110" t="s">
        <v>148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9.5" customHeight="1" x14ac:dyDescent="0.25">
      <c r="A315" s="223"/>
      <c r="B315" s="69"/>
      <c r="C315" s="172" t="s">
        <v>49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5.95" customHeight="1" x14ac:dyDescent="0.25">
      <c r="A316" s="223"/>
      <c r="B316" s="69"/>
      <c r="C316" s="316" t="s">
        <v>157</v>
      </c>
      <c r="D316" s="316"/>
      <c r="E316" s="316"/>
      <c r="F316" s="316"/>
      <c r="G316" s="208"/>
      <c r="H316" s="208"/>
      <c r="I316" s="145"/>
      <c r="J316" s="127"/>
    </row>
    <row r="317" spans="1:10" ht="14.1" customHeight="1" x14ac:dyDescent="0.2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2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" customHeight="1" x14ac:dyDescent="0.2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2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25">
      <c r="A321" s="223"/>
      <c r="B321" s="193"/>
      <c r="C321" s="19" t="s">
        <v>107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47"/>
      <c r="J321" s="13"/>
    </row>
    <row r="322" spans="1:10" ht="18.75" customHeight="1" x14ac:dyDescent="0.25">
      <c r="A322" s="223"/>
      <c r="B322" s="69"/>
      <c r="C322" s="236" t="s">
        <v>154</v>
      </c>
      <c r="D322" s="237">
        <v>248</v>
      </c>
      <c r="E322" s="29">
        <f>0.69646</f>
        <v>0.69645999999999997</v>
      </c>
      <c r="F322" s="29">
        <f>82.13081</f>
        <v>82.130809999999997</v>
      </c>
      <c r="G322" s="238">
        <f>D322-F322</f>
        <v>165.86919</v>
      </c>
      <c r="H322" s="29">
        <f>8.62681</f>
        <v>8.6268100000000008</v>
      </c>
      <c r="I322" s="242"/>
      <c r="J322" s="127"/>
    </row>
    <row r="323" spans="1:10" ht="17.45" customHeight="1" x14ac:dyDescent="0.25">
      <c r="A323" s="223"/>
      <c r="B323" s="69"/>
      <c r="C323" s="239" t="s">
        <v>155</v>
      </c>
      <c r="D323" s="240">
        <v>22048</v>
      </c>
      <c r="E323" s="29">
        <f>71.75985</f>
        <v>71.75985</v>
      </c>
      <c r="F323" s="29">
        <f>474.20327</f>
        <v>474.20326999999997</v>
      </c>
      <c r="G323" s="241">
        <f>D323-F323</f>
        <v>21573.796730000002</v>
      </c>
      <c r="H323" s="29">
        <f>575.3951</f>
        <v>575.39509999999996</v>
      </c>
      <c r="I323" s="26"/>
      <c r="J323" s="127"/>
    </row>
    <row r="324" spans="1:10" ht="17.100000000000001" customHeight="1" x14ac:dyDescent="0.25">
      <c r="A324" s="223"/>
      <c r="B324" s="69"/>
      <c r="C324" s="306" t="s">
        <v>86</v>
      </c>
      <c r="D324" s="229">
        <f>D322+D323</f>
        <v>22296</v>
      </c>
      <c r="E324" s="39">
        <f>E323+E322</f>
        <v>72.456310000000002</v>
      </c>
      <c r="F324" s="39">
        <f>F323+F322</f>
        <v>556.33407999999997</v>
      </c>
      <c r="G324" s="39">
        <f>G323+G322</f>
        <v>21739.665920000003</v>
      </c>
      <c r="H324" s="39">
        <f>H323+H322</f>
        <v>584.02190999999993</v>
      </c>
      <c r="I324" s="26"/>
      <c r="J324" s="127"/>
    </row>
    <row r="325" spans="1:10" ht="22.5" customHeight="1" x14ac:dyDescent="0.25">
      <c r="A325" s="223"/>
      <c r="B325" s="69"/>
      <c r="C325" s="314" t="s">
        <v>156</v>
      </c>
      <c r="D325" s="314"/>
      <c r="E325" s="314"/>
      <c r="F325" s="314"/>
      <c r="G325" s="314"/>
      <c r="H325" s="314"/>
      <c r="I325" s="314"/>
      <c r="J325" s="315"/>
    </row>
    <row r="326" spans="1:10" ht="42" customHeight="1" x14ac:dyDescent="0.2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25"/>
    <row r="328" spans="1:10" ht="14.1" customHeight="1" x14ac:dyDescent="0.25">
      <c r="A328" s="223"/>
      <c r="C328" s="145" t="s">
        <v>112</v>
      </c>
      <c r="D328" s="152"/>
    </row>
    <row r="329" spans="1:10" ht="0" hidden="1" customHeight="1" x14ac:dyDescent="0.2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25">
      <c r="A330" s="223"/>
      <c r="B330" s="69"/>
      <c r="C330" s="233" t="s">
        <v>145</v>
      </c>
      <c r="D330" s="152"/>
      <c r="E330" s="145"/>
      <c r="G330" s="145"/>
      <c r="H330" s="145"/>
      <c r="I330" s="145"/>
      <c r="J330" s="127"/>
    </row>
    <row r="331" spans="1:10" ht="0" hidden="1" customHeight="1" x14ac:dyDescent="0.2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25">
      <c r="A332" s="223"/>
      <c r="B332" s="69"/>
      <c r="C332" s="210" t="s">
        <v>1</v>
      </c>
      <c r="D332" s="210" t="s">
        <v>146</v>
      </c>
      <c r="E332" s="212" t="s">
        <v>147</v>
      </c>
      <c r="F332" s="145"/>
      <c r="G332" s="145"/>
      <c r="H332" s="145"/>
      <c r="I332" s="145"/>
      <c r="J332" s="127"/>
    </row>
    <row r="333" spans="1:10" ht="0" hidden="1" customHeight="1" x14ac:dyDescent="0.2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25">
      <c r="A334" s="223"/>
      <c r="B334" s="69"/>
      <c r="C334" s="110" t="s">
        <v>90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25">
      <c r="A335" s="223"/>
      <c r="B335" s="69"/>
      <c r="C335" s="110" t="s">
        <v>148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25">
      <c r="A336" s="223"/>
      <c r="B336" s="69"/>
      <c r="C336" s="172" t="s">
        <v>49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25">
      <c r="A337" s="223"/>
      <c r="B337" s="69"/>
      <c r="C337" s="313" t="s">
        <v>149</v>
      </c>
      <c r="D337" s="313"/>
      <c r="E337" s="313"/>
      <c r="F337" s="313"/>
      <c r="G337" s="208"/>
      <c r="H337" s="208"/>
      <c r="I337" s="145"/>
      <c r="J337" s="127"/>
    </row>
    <row r="338" spans="1:10" ht="0" hidden="1" customHeight="1" x14ac:dyDescent="0.2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2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2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2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25">
      <c r="A342" s="223"/>
      <c r="B342" s="193"/>
      <c r="C342" s="19" t="s">
        <v>107</v>
      </c>
      <c r="D342" s="19" t="s">
        <v>1</v>
      </c>
      <c r="E342" s="246" t="s">
        <v>150</v>
      </c>
      <c r="F342" s="246" t="s">
        <v>151</v>
      </c>
      <c r="G342" s="246" t="s">
        <v>152</v>
      </c>
      <c r="H342" s="224" t="s">
        <v>153</v>
      </c>
      <c r="I342" s="247"/>
      <c r="J342" s="13"/>
    </row>
    <row r="343" spans="1:10" ht="0" hidden="1" customHeight="1" x14ac:dyDescent="0.25">
      <c r="A343" s="223"/>
      <c r="B343" s="69"/>
      <c r="C343" s="225" t="s">
        <v>154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25">
      <c r="A344" s="223"/>
      <c r="B344" s="69"/>
      <c r="C344" s="287" t="s">
        <v>155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25">
      <c r="A345" s="223"/>
      <c r="B345" s="69"/>
      <c r="C345" s="306" t="s">
        <v>86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25">
      <c r="A346" s="223"/>
      <c r="B346" s="69"/>
      <c r="C346" s="314" t="s">
        <v>156</v>
      </c>
      <c r="D346" s="314"/>
      <c r="E346" s="314"/>
      <c r="F346" s="314"/>
      <c r="G346" s="314"/>
      <c r="H346" s="314"/>
      <c r="I346" s="314"/>
      <c r="J346" s="315"/>
    </row>
    <row r="347" spans="1:10" ht="0" hidden="1" customHeight="1" x14ac:dyDescent="0.2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25"/>
    <row r="349" spans="1:10" ht="0" hidden="1" customHeight="1" x14ac:dyDescent="0.25"/>
    <row r="350" spans="1:10" ht="0" hidden="1" customHeight="1" x14ac:dyDescent="0.2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13" ht="16.5" customHeight="1" x14ac:dyDescent="0.25"/>
  </sheetData>
  <mergeCells count="19">
    <mergeCell ref="B2:J2"/>
    <mergeCell ref="B9:J9"/>
    <mergeCell ref="C11:D11"/>
    <mergeCell ref="E11:F11"/>
    <mergeCell ref="G11:H11"/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23&amp;R09.06.2025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2025-06-10T08:02:01Z</dcterms:modified>
</cp:coreProperties>
</file>