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EF31692A-A56B-4EDB-B866-02B25BFE3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F422" i="1"/>
  <c r="G422" i="1" s="1"/>
  <c r="E422" i="1"/>
  <c r="H421" i="1"/>
  <c r="F421" i="1"/>
  <c r="E421" i="1"/>
  <c r="H420" i="1"/>
  <c r="H419" i="1" s="1"/>
  <c r="F420" i="1"/>
  <c r="F419" i="1" s="1"/>
  <c r="G419" i="1" s="1"/>
  <c r="E420" i="1"/>
  <c r="E419" i="1"/>
  <c r="H418" i="1"/>
  <c r="F418" i="1"/>
  <c r="E418" i="1"/>
  <c r="E416" i="1" s="1"/>
  <c r="H417" i="1"/>
  <c r="H416" i="1" s="1"/>
  <c r="F417" i="1"/>
  <c r="E417" i="1"/>
  <c r="H415" i="1"/>
  <c r="F415" i="1"/>
  <c r="E415" i="1"/>
  <c r="H414" i="1"/>
  <c r="H413" i="1" s="1"/>
  <c r="F414" i="1"/>
  <c r="E414" i="1"/>
  <c r="E413" i="1" s="1"/>
  <c r="F413" i="1"/>
  <c r="I390" i="1"/>
  <c r="H390" i="1"/>
  <c r="G390" i="1"/>
  <c r="F390" i="1"/>
  <c r="I389" i="1"/>
  <c r="G389" i="1"/>
  <c r="H389" i="1" s="1"/>
  <c r="F389" i="1"/>
  <c r="I388" i="1"/>
  <c r="I386" i="1" s="1"/>
  <c r="G388" i="1"/>
  <c r="G386" i="1" s="1"/>
  <c r="H386" i="1" s="1"/>
  <c r="F388" i="1"/>
  <c r="F386" i="1" s="1"/>
  <c r="I387" i="1"/>
  <c r="G387" i="1"/>
  <c r="F387" i="1"/>
  <c r="I385" i="1"/>
  <c r="G385" i="1"/>
  <c r="H385" i="1" s="1"/>
  <c r="F385" i="1"/>
  <c r="I384" i="1"/>
  <c r="G384" i="1"/>
  <c r="H384" i="1" s="1"/>
  <c r="F384" i="1"/>
  <c r="I383" i="1"/>
  <c r="G383" i="1"/>
  <c r="H383" i="1" s="1"/>
  <c r="F383" i="1"/>
  <c r="I382" i="1"/>
  <c r="G382" i="1"/>
  <c r="F382" i="1"/>
  <c r="I381" i="1"/>
  <c r="H381" i="1"/>
  <c r="G381" i="1"/>
  <c r="F381" i="1"/>
  <c r="D380" i="1"/>
  <c r="D391" i="1" s="1"/>
  <c r="H372" i="1"/>
  <c r="F372" i="1"/>
  <c r="D354" i="1"/>
  <c r="H353" i="1"/>
  <c r="F353" i="1"/>
  <c r="G353" i="1" s="1"/>
  <c r="E353" i="1"/>
  <c r="H352" i="1"/>
  <c r="F352" i="1"/>
  <c r="G352" i="1" s="1"/>
  <c r="E352" i="1"/>
  <c r="H351" i="1"/>
  <c r="G351" i="1"/>
  <c r="F351" i="1"/>
  <c r="E351" i="1"/>
  <c r="H350" i="1"/>
  <c r="H354" i="1" s="1"/>
  <c r="F350" i="1"/>
  <c r="F354" i="1" s="1"/>
  <c r="E350" i="1"/>
  <c r="D343" i="1"/>
  <c r="D299" i="1"/>
  <c r="H298" i="1"/>
  <c r="F298" i="1"/>
  <c r="G298" i="1" s="1"/>
  <c r="E298" i="1"/>
  <c r="H297" i="1"/>
  <c r="H295" i="1" s="1"/>
  <c r="H299" i="1" s="1"/>
  <c r="F297" i="1"/>
  <c r="E297" i="1"/>
  <c r="H296" i="1"/>
  <c r="F296" i="1"/>
  <c r="F295" i="1" s="1"/>
  <c r="E296" i="1"/>
  <c r="D253" i="1"/>
  <c r="H252" i="1"/>
  <c r="F252" i="1"/>
  <c r="G252" i="1" s="1"/>
  <c r="E252" i="1"/>
  <c r="H251" i="1"/>
  <c r="F251" i="1"/>
  <c r="E251" i="1"/>
  <c r="H250" i="1"/>
  <c r="H249" i="1" s="1"/>
  <c r="H253" i="1" s="1"/>
  <c r="F250" i="1"/>
  <c r="F249" i="1" s="1"/>
  <c r="E250" i="1"/>
  <c r="D207" i="1"/>
  <c r="H206" i="1"/>
  <c r="F206" i="1"/>
  <c r="G206" i="1" s="1"/>
  <c r="E206" i="1"/>
  <c r="H205" i="1"/>
  <c r="F205" i="1"/>
  <c r="G205" i="1" s="1"/>
  <c r="E205" i="1"/>
  <c r="H204" i="1"/>
  <c r="H207" i="1" s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F179" i="1"/>
  <c r="E179" i="1"/>
  <c r="H177" i="1"/>
  <c r="G177" i="1"/>
  <c r="F177" i="1"/>
  <c r="E177" i="1"/>
  <c r="H176" i="1"/>
  <c r="F176" i="1"/>
  <c r="E176" i="1"/>
  <c r="H175" i="1"/>
  <c r="F175" i="1"/>
  <c r="E175" i="1"/>
  <c r="D167" i="1"/>
  <c r="D169" i="1" s="1"/>
  <c r="I148" i="1"/>
  <c r="G148" i="1"/>
  <c r="H148" i="1" s="1"/>
  <c r="F148" i="1"/>
  <c r="I147" i="1"/>
  <c r="G147" i="1"/>
  <c r="H147" i="1" s="1"/>
  <c r="F147" i="1"/>
  <c r="H146" i="1"/>
  <c r="I145" i="1"/>
  <c r="G145" i="1"/>
  <c r="H145" i="1" s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G139" i="1" s="1"/>
  <c r="F140" i="1"/>
  <c r="F139" i="1" s="1"/>
  <c r="I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G134" i="1"/>
  <c r="F135" i="1"/>
  <c r="E134" i="1"/>
  <c r="D134" i="1"/>
  <c r="D133" i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I128" i="1" s="1"/>
  <c r="G129" i="1"/>
  <c r="H129" i="1" s="1"/>
  <c r="H128" i="1" s="1"/>
  <c r="F129" i="1"/>
  <c r="F128" i="1" s="1"/>
  <c r="E128" i="1"/>
  <c r="D128" i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I96" i="1" s="1"/>
  <c r="I95" i="1" s="1"/>
  <c r="G98" i="1"/>
  <c r="H98" i="1" s="1"/>
  <c r="F98" i="1"/>
  <c r="I97" i="1"/>
  <c r="G97" i="1"/>
  <c r="H97" i="1" s="1"/>
  <c r="F97" i="1"/>
  <c r="F96" i="1" s="1"/>
  <c r="F95" i="1" s="1"/>
  <c r="E96" i="1"/>
  <c r="E95" i="1" s="1"/>
  <c r="E107" i="1" s="1"/>
  <c r="D96" i="1"/>
  <c r="D95" i="1" s="1"/>
  <c r="I94" i="1"/>
  <c r="G94" i="1"/>
  <c r="H94" i="1" s="1"/>
  <c r="F94" i="1"/>
  <c r="I93" i="1"/>
  <c r="I92" i="1" s="1"/>
  <c r="I107" i="1" s="1"/>
  <c r="G93" i="1"/>
  <c r="H93" i="1" s="1"/>
  <c r="F93" i="1"/>
  <c r="F92" i="1" s="1"/>
  <c r="E92" i="1"/>
  <c r="D92" i="1"/>
  <c r="C89" i="1"/>
  <c r="H85" i="1"/>
  <c r="F85" i="1"/>
  <c r="D85" i="1"/>
  <c r="G61" i="1"/>
  <c r="G60" i="1"/>
  <c r="H55" i="1"/>
  <c r="F55" i="1"/>
  <c r="G32" i="1" s="1"/>
  <c r="E55" i="1"/>
  <c r="F32" i="1" s="1"/>
  <c r="F27" i="1" s="1"/>
  <c r="I43" i="1"/>
  <c r="G43" i="1"/>
  <c r="H43" i="1" s="1"/>
  <c r="F43" i="1"/>
  <c r="H4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I34" i="1" s="1"/>
  <c r="G35" i="1"/>
  <c r="F35" i="1"/>
  <c r="E35" i="1"/>
  <c r="D34" i="1"/>
  <c r="I33" i="1"/>
  <c r="G33" i="1"/>
  <c r="H33" i="1" s="1"/>
  <c r="F33" i="1"/>
  <c r="I32" i="1"/>
  <c r="I31" i="1"/>
  <c r="G31" i="1"/>
  <c r="H31" i="1" s="1"/>
  <c r="F31" i="1"/>
  <c r="I30" i="1"/>
  <c r="G30" i="1"/>
  <c r="H30" i="1" s="1"/>
  <c r="F30" i="1"/>
  <c r="I29" i="1"/>
  <c r="I27" i="1" s="1"/>
  <c r="G29" i="1"/>
  <c r="H29" i="1" s="1"/>
  <c r="F29" i="1"/>
  <c r="I28" i="1"/>
  <c r="G28" i="1"/>
  <c r="H28" i="1" s="1"/>
  <c r="F28" i="1"/>
  <c r="E27" i="1"/>
  <c r="E26" i="1" s="1"/>
  <c r="D27" i="1"/>
  <c r="D26" i="1" s="1"/>
  <c r="I25" i="1"/>
  <c r="G25" i="1"/>
  <c r="H25" i="1" s="1"/>
  <c r="F25" i="1"/>
  <c r="I24" i="1"/>
  <c r="I23" i="1" s="1"/>
  <c r="G24" i="1"/>
  <c r="G23" i="1" s="1"/>
  <c r="F24" i="1"/>
  <c r="F23" i="1" s="1"/>
  <c r="E23" i="1"/>
  <c r="D23" i="1"/>
  <c r="H16" i="1"/>
  <c r="F16" i="1"/>
  <c r="D16" i="1"/>
  <c r="E423" i="1" l="1"/>
  <c r="H423" i="1"/>
  <c r="I150" i="1"/>
  <c r="F134" i="1"/>
  <c r="F133" i="1" s="1"/>
  <c r="F150" i="1" s="1"/>
  <c r="H24" i="1"/>
  <c r="H23" i="1" s="1"/>
  <c r="H140" i="1"/>
  <c r="E249" i="1"/>
  <c r="E253" i="1" s="1"/>
  <c r="E295" i="1"/>
  <c r="E299" i="1" s="1"/>
  <c r="F184" i="1"/>
  <c r="G184" i="1" s="1"/>
  <c r="F107" i="1"/>
  <c r="D44" i="1"/>
  <c r="D107" i="1"/>
  <c r="D150" i="1"/>
  <c r="F380" i="1"/>
  <c r="F391" i="1" s="1"/>
  <c r="E133" i="1"/>
  <c r="E150" i="1" s="1"/>
  <c r="H139" i="1"/>
  <c r="H178" i="1"/>
  <c r="H184" i="1" s="1"/>
  <c r="I26" i="1"/>
  <c r="I380" i="1"/>
  <c r="E44" i="1"/>
  <c r="E178" i="1"/>
  <c r="E184" i="1" s="1"/>
  <c r="E354" i="1"/>
  <c r="G380" i="1"/>
  <c r="G391" i="1" s="1"/>
  <c r="F416" i="1"/>
  <c r="G416" i="1" s="1"/>
  <c r="G133" i="1"/>
  <c r="F34" i="1"/>
  <c r="F26" i="1" s="1"/>
  <c r="F44" i="1" s="1"/>
  <c r="G34" i="1"/>
  <c r="I44" i="1"/>
  <c r="H35" i="1"/>
  <c r="H27" i="1"/>
  <c r="G249" i="1"/>
  <c r="F253" i="1"/>
  <c r="G253" i="1" s="1"/>
  <c r="H92" i="1"/>
  <c r="G295" i="1"/>
  <c r="F299" i="1"/>
  <c r="G299" i="1" s="1"/>
  <c r="I391" i="1"/>
  <c r="G27" i="1"/>
  <c r="G26" i="1" s="1"/>
  <c r="G44" i="1" s="1"/>
  <c r="H32" i="1"/>
  <c r="G354" i="1"/>
  <c r="H96" i="1"/>
  <c r="H95" i="1" s="1"/>
  <c r="G92" i="1"/>
  <c r="H34" i="1"/>
  <c r="G128" i="1"/>
  <c r="G150" i="1" s="1"/>
  <c r="G175" i="1"/>
  <c r="H135" i="1"/>
  <c r="H134" i="1" s="1"/>
  <c r="F207" i="1"/>
  <c r="G207" i="1" s="1"/>
  <c r="G413" i="1"/>
  <c r="G350" i="1"/>
  <c r="H382" i="1"/>
  <c r="H380" i="1" s="1"/>
  <c r="H391" i="1" s="1"/>
  <c r="G96" i="1"/>
  <c r="G95" i="1" s="1"/>
  <c r="G55" i="1"/>
  <c r="G107" i="1" l="1"/>
  <c r="F423" i="1"/>
  <c r="H133" i="1"/>
  <c r="H150" i="1" s="1"/>
  <c r="H107" i="1"/>
  <c r="H26" i="1"/>
  <c r="H44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<sst xmlns="http://schemas.openxmlformats.org/spreadsheetml/2006/main" count="359" uniqueCount="152">
  <si>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</si>
  <si>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</si>
  <si>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</si>
  <si>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</si>
  <si>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</si>
  <si>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</si>
  <si>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</si>
  <si>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</si>
  <si>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</si>
  <si>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</si>
  <si>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</si>
  <si>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</si>
  <si>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</si>
  <si>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</si>
  <si>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</si>
  <si>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</si>
  <si>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</si>
  <si>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</si>
  <si>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</si>
  <si>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</si>
  <si>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</si>
  <si>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</si>
  <si>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</si>
  <si>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</si>
  <si>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</si>
  <si>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</si>
  <si>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</si>
  <si>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</si>
  <si>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</si>
  <si>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</si>
  <si>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</si>
  <si>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</si>
  <si>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</si>
  <si>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</si>
  <si>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</si>
  <si>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</si>
  <si>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</si>
  <si>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</si>
  <si>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</si>
  <si>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</si>
  <si>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</si>
  <si>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</si>
  <si>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</si>
  <si>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</si>
  <si>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</si>
  <si>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</si>
  <si>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</si>
  <si>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</si>
  <si>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</si>
  <si>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</si>
  <si>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</si>
  <si>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</si>
  <si>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</si>
  <si>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</si>
  <si>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</si>
  <si>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</si>
  <si>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</si>
  <si>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</si>
  <si>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</si>
  <si>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</si>
  <si>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</si>
  <si>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</si>
  <si>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</si>
  <si>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</si>
  <si>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</si>
  <si>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</si>
  <si>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</si>
  <si>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</si>
  <si>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</si>
  <si>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</si>
  <si>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</si>
  <si>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</si>
  <si>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</si>
  <si>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</si>
  <si>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</si>
  <si>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</si>
  <si>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</si>
  <si>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</si>
  <si>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</si>
  <si>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</si>
  <si>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</si>
  <si>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</si>
  <si>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</si>
  <si>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</si>
  <si>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</si>
  <si>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</si>
  <si>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</si>
  <si>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</si>
  <si>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</si>
  <si>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</si>
  <si>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</si>
  <si>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</si>
  <si>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</si>
  <si>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</si>
  <si>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</si>
  <si>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</si>
  <si>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</si>
  <si>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</si>
  <si>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</si>
  <si>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</si>
  <si>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</si>
  <si>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</si>
  <si>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</si>
  <si>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</si>
  <si>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</si>
  <si>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</si>
  <si>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</si>
  <si>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</si>
  <si>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</si>
  <si>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</si>
  <si>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</si>
  <si>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</si>
  <si>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</si>
  <si>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</si>
  <si>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</si>
  <si>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</si>
  <si>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</si>
  <si>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</si>
  <si>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</si>
  <si>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</si>
  <si>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</si>
  <si>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</si>
  <si>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</si>
  <si>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</si>
  <si>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</si>
  <si>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</si>
  <si>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</si>
  <si>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</si>
  <si>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</si>
  <si>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</si>
  <si>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</si>
  <si>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</si>
  <si>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</si>
  <si>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</si>
  <si>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</si>
  <si>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</si>
  <si>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</si>
  <si>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</si>
  <si>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</si>
  <si>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</si>
  <si>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</si>
  <si>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</si>
  <si>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</si>
  <si>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</si>
  <si>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47 tonn, men det legges til grunn at hele avsetningen tas</t>
  </si>
  <si>
    <t>4 Registrert rekreasjonsfiske utgjør 226 tonn, men det legges til grunn at hele avsetningen tas</t>
  </si>
  <si>
    <t>3 Registrert rekreasjonsfiske utgjør 616 tonn, men det legges til grunn at hele avsetningen tas</t>
  </si>
  <si>
    <t>FANGST UKE 24</t>
  </si>
  <si>
    <t>FANGST T.O.M UKE 24</t>
  </si>
  <si>
    <t>RESTKVOTER UKE 24</t>
  </si>
  <si>
    <t>FANGST T.O.M UKE 24 2023</t>
  </si>
  <si>
    <r>
      <t>3</t>
    </r>
    <r>
      <rPr>
        <sz val="9"/>
        <color indexed="8"/>
        <rFont val="Calibri"/>
        <family val="2"/>
      </rPr>
      <t xml:space="preserve"> Det er fisket 2 028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</si>
</sst>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F6" sqref="F6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122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141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193.93799999999999</v>
      </c>
      <c r="G23" s="28">
        <f t="shared" si="0"/>
        <v>36365.771610000003</v>
      </c>
      <c r="H23" s="11">
        <f t="shared" si="0"/>
        <v>24446.22839</v>
      </c>
      <c r="I23" s="11">
        <f t="shared" si="0"/>
        <v>46897.5003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193.938</f>
        <v>193.93799999999999</v>
      </c>
      <c r="G24" s="23">
        <f>35893.57632</f>
        <v>35893.57632</v>
      </c>
      <c r="H24" s="23">
        <f>E24-G24</f>
        <v>24148.42368</v>
      </c>
      <c r="I24" s="23">
        <f>46663.88106</f>
        <v>46663.88106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472.19529</f>
        <v>472.19529</v>
      </c>
      <c r="H25" s="23">
        <f>E25-G25</f>
        <v>297.80471</v>
      </c>
      <c r="I25" s="23">
        <f>233.61924</f>
        <v>233.61923999999999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508.78804999999994</v>
      </c>
      <c r="G26" s="11">
        <f t="shared" si="1"/>
        <v>115679.79931</v>
      </c>
      <c r="H26" s="11">
        <f t="shared" si="1"/>
        <v>29194.200689999998</v>
      </c>
      <c r="I26" s="11">
        <f t="shared" si="1"/>
        <v>162957.13046000001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361.23729999999995</v>
      </c>
      <c r="G27" s="132">
        <f t="shared" ref="G27:I27" si="2">G28+G29+G30+G31+G32</f>
        <v>94623.582950000011</v>
      </c>
      <c r="H27" s="132">
        <f t="shared" si="2"/>
        <v>18354.41705</v>
      </c>
      <c r="I27" s="132">
        <f t="shared" si="2"/>
        <v>129794.60808000001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96.72689</f>
        <v>96.726889999999997</v>
      </c>
      <c r="G28" s="127">
        <f>25294.17659 - F56</f>
        <v>25294.176589999999</v>
      </c>
      <c r="H28" s="127">
        <f t="shared" ref="H28:H40" si="3">E28-G28</f>
        <v>3335.8234100000009</v>
      </c>
      <c r="I28" s="127">
        <f>35761.02104 - H56</f>
        <v>35761.02104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112.65899</f>
        <v>112.65899</v>
      </c>
      <c r="G29" s="127">
        <f>26628.486 - F57</f>
        <v>26628.486000000001</v>
      </c>
      <c r="H29" s="127">
        <f t="shared" si="3"/>
        <v>3036.5139999999992</v>
      </c>
      <c r="I29" s="127">
        <f>36660.88064 - H57</f>
        <v>36660.880640000003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50.21592</f>
        <v>50.215919999999997</v>
      </c>
      <c r="G30" s="127">
        <f>24711.77798 - F58</f>
        <v>24711.777979999999</v>
      </c>
      <c r="H30" s="127">
        <f t="shared" si="3"/>
        <v>2532.2220200000011</v>
      </c>
      <c r="I30" s="127">
        <f>34021.7396 - H58</f>
        <v>34021.739600000001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101.6355</f>
        <v>101.63549999999999</v>
      </c>
      <c r="G31" s="127">
        <f>17989.14238 - F59</f>
        <v>17989.142380000001</v>
      </c>
      <c r="H31" s="127">
        <f t="shared" si="3"/>
        <v>1349.8576199999989</v>
      </c>
      <c r="I31" s="127">
        <f>23350.9668 - H59</f>
        <v>23350.966799999998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0</f>
        <v>0</v>
      </c>
      <c r="G33" s="132">
        <f>9765.07295</f>
        <v>9765.0729499999998</v>
      </c>
      <c r="H33" s="132">
        <f t="shared" si="3"/>
        <v>7093.9270500000002</v>
      </c>
      <c r="I33" s="132">
        <f>13776.16356</f>
        <v>13776.163560000001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147.55074999999999</v>
      </c>
      <c r="G34" s="132">
        <f>G35+G36</f>
        <v>11291.143410000001</v>
      </c>
      <c r="H34" s="132">
        <f t="shared" si="3"/>
        <v>3745.8565899999994</v>
      </c>
      <c r="I34" s="132">
        <f>I35+I36</f>
        <v>19386.358820000001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147.55075</f>
        <v>147.55074999999999</v>
      </c>
      <c r="G35" s="132">
        <f>13844.14341 - F60 - F61</f>
        <v>11291.143410000001</v>
      </c>
      <c r="H35" s="127">
        <f t="shared" si="3"/>
        <v>2785.8565899999994</v>
      </c>
      <c r="I35" s="127">
        <f>23373.35882 - H60 - H61</f>
        <v>19386.358820000001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344.382</f>
        <v>344.38200000000001</v>
      </c>
      <c r="H37" s="139">
        <f t="shared" si="3"/>
        <v>1655.6179999999999</v>
      </c>
      <c r="I37" s="139">
        <f>746.7916</f>
        <v>746.79160000000002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0.1005</f>
        <v>0.10050000000000001</v>
      </c>
      <c r="G38" s="98">
        <f>454.09817</f>
        <v>454.09816999999998</v>
      </c>
      <c r="H38" s="98">
        <f t="shared" si="3"/>
        <v>400.90183000000002</v>
      </c>
      <c r="I38" s="98">
        <f>482.06274</f>
        <v>482.06274000000002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45</v>
      </c>
      <c r="G39" s="98">
        <f>F61</f>
        <v>2553</v>
      </c>
      <c r="H39" s="98">
        <f t="shared" si="3"/>
        <v>447</v>
      </c>
      <c r="I39" s="98">
        <f>H61</f>
        <v>3987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6.45104</f>
        <v>6.4510399999999999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0</f>
        <v>0</v>
      </c>
      <c r="G41" s="98">
        <f>317.69341</f>
        <v>317.69340999999997</v>
      </c>
      <c r="H41" s="98">
        <f>E41-G41</f>
        <v>82.306590000000028</v>
      </c>
      <c r="I41" s="98">
        <f>338.83855</f>
        <v>338.83855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85.43626</f>
        <v>85.436260000000004</v>
      </c>
      <c r="H43" s="139">
        <f t="shared" ref="H43" si="4">E43-G43</f>
        <v>-85.436260000000004</v>
      </c>
      <c r="I43" s="139">
        <f>78.21367</f>
        <v>78.213669999999993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754.27759000000003</v>
      </c>
      <c r="G44" s="76">
        <f t="shared" si="5"/>
        <v>162800.18476</v>
      </c>
      <c r="H44" s="76">
        <f t="shared" si="5"/>
        <v>56240.815240000004</v>
      </c>
      <c r="I44" s="76">
        <f t="shared" si="5"/>
        <v>222487.53732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45</v>
      </c>
      <c r="F61" s="139">
        <v>2553</v>
      </c>
      <c r="G61" s="139">
        <f>D61-F61</f>
        <v>447</v>
      </c>
      <c r="H61" s="139">
        <v>3987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08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25.640999999999998</v>
      </c>
      <c r="G92" s="11">
        <f t="shared" si="6"/>
        <v>22843.69469</v>
      </c>
      <c r="H92" s="11">
        <f t="shared" si="6"/>
        <v>3117.3053099999988</v>
      </c>
      <c r="I92" s="11">
        <f t="shared" si="6"/>
        <v>38634.404800000004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25.641</f>
        <v>25.640999999999998</v>
      </c>
      <c r="G93" s="23">
        <f>22072.32024</f>
        <v>22072.320240000001</v>
      </c>
      <c r="H93" s="23">
        <f>E93-G93</f>
        <v>3063.6797599999991</v>
      </c>
      <c r="I93" s="23">
        <f>38138.55546</f>
        <v>38138.555460000003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771.37445</f>
        <v>771.37445000000002</v>
      </c>
      <c r="H94" s="50">
        <f>E94-G94</f>
        <v>53.625549999999976</v>
      </c>
      <c r="I94" s="50">
        <f>495.84934</f>
        <v>495.84933999999998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1041.8810900000001</v>
      </c>
      <c r="G95" s="11">
        <f t="shared" si="7"/>
        <v>29676.296069999997</v>
      </c>
      <c r="H95" s="11">
        <f t="shared" si="7"/>
        <v>19317.703930000003</v>
      </c>
      <c r="I95" s="11">
        <f t="shared" si="7"/>
        <v>19877.30661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1000.95469</v>
      </c>
      <c r="G96" s="132">
        <f t="shared" si="8"/>
        <v>23048.303249999997</v>
      </c>
      <c r="H96" s="132">
        <f t="shared" si="8"/>
        <v>14445.696750000001</v>
      </c>
      <c r="I96" s="132">
        <f t="shared" si="8"/>
        <v>13810.259309999999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87.02671</f>
        <v>87.026709999999994</v>
      </c>
      <c r="G97" s="127">
        <f>3967.01569</f>
        <v>3967.0156900000002</v>
      </c>
      <c r="H97" s="127">
        <f t="shared" ref="H97:H104" si="9">E97-G97</f>
        <v>6047.9843099999998</v>
      </c>
      <c r="I97" s="127">
        <f>2281.32048</f>
        <v>2281.3204799999999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473.40838</f>
        <v>473.40838000000002</v>
      </c>
      <c r="G98" s="127">
        <f>7828.93323</f>
        <v>7828.9332299999996</v>
      </c>
      <c r="H98" s="127">
        <f t="shared" si="9"/>
        <v>2785.0667700000004</v>
      </c>
      <c r="I98" s="127">
        <f>4471.91202</f>
        <v>4471.9120199999998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238.66076</f>
        <v>238.66076000000001</v>
      </c>
      <c r="G99" s="127">
        <f>7120.87954</f>
        <v>7120.8795399999999</v>
      </c>
      <c r="H99" s="127">
        <f t="shared" si="9"/>
        <v>2991.1204600000001</v>
      </c>
      <c r="I99" s="127">
        <f>3699.05438</f>
        <v>3699.05438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201.85884</f>
        <v>201.85883999999999</v>
      </c>
      <c r="G100" s="127">
        <f>4131.47479</f>
        <v>4131.4747900000002</v>
      </c>
      <c r="H100" s="127">
        <f t="shared" si="9"/>
        <v>2621.5252099999998</v>
      </c>
      <c r="I100" s="127">
        <f>3357.97243</f>
        <v>3357.9724299999998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0</f>
        <v>0</v>
      </c>
      <c r="G101" s="132">
        <f>4902.95691</f>
        <v>4902.9569099999999</v>
      </c>
      <c r="H101" s="132">
        <f t="shared" si="9"/>
        <v>2693.0430900000001</v>
      </c>
      <c r="I101" s="132">
        <f>4931.67714</f>
        <v>4931.6771399999998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40.9264</f>
        <v>40.926400000000001</v>
      </c>
      <c r="G102" s="75">
        <f>1725.03591</f>
        <v>1725.0359100000001</v>
      </c>
      <c r="H102" s="75">
        <f t="shared" si="9"/>
        <v>2178.9640899999999</v>
      </c>
      <c r="I102" s="75">
        <f>1135.37016</f>
        <v>1135.3701599999999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0.00285</f>
        <v>2.8500000000000001E-3</v>
      </c>
      <c r="G103" s="98">
        <f>36.10561</f>
        <v>36.105609999999999</v>
      </c>
      <c r="H103" s="98">
        <f t="shared" si="9"/>
        <v>282.89438999999999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0.54571</f>
        <v>0.54571000000000003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</f>
        <v>0</v>
      </c>
      <c r="G105" s="98">
        <f>19.51706</f>
        <v>19.517060000000001</v>
      </c>
      <c r="H105" s="139">
        <f>E105-G105</f>
        <v>30.482939999999999</v>
      </c>
      <c r="I105" s="98">
        <f>6.89126</f>
        <v>6.8912599999999999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16.07232</f>
        <v>16.072320000000001</v>
      </c>
      <c r="H106" s="139">
        <f t="shared" ref="H106" si="10">E106-G106</f>
        <v>-16.072320000000001</v>
      </c>
      <c r="I106" s="139">
        <f>87.90276</f>
        <v>87.902760000000001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1068.0706500000003</v>
      </c>
      <c r="G107" s="76">
        <f t="shared" si="12"/>
        <v>52891.685749999997</v>
      </c>
      <c r="H107" s="76">
        <f t="shared" si="12"/>
        <v>22732.314250000007</v>
      </c>
      <c r="I107" s="76">
        <f t="shared" si="12"/>
        <v>58917.754099999998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230.09535</v>
      </c>
      <c r="G128" s="11">
        <f t="shared" si="13"/>
        <v>38554.895729999997</v>
      </c>
      <c r="H128" s="11">
        <f t="shared" si="13"/>
        <v>33752.104270000003</v>
      </c>
      <c r="I128" s="11">
        <f t="shared" si="13"/>
        <v>37355.443399999996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230.09535</f>
        <v>230.09535</v>
      </c>
      <c r="G129" s="23">
        <f>34225.32168</f>
        <v>34225.321680000001</v>
      </c>
      <c r="H129" s="23">
        <f>E129-G129</f>
        <v>23336.678319999999</v>
      </c>
      <c r="I129" s="23">
        <f>32692.33717</f>
        <v>32692.337169999999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4264.1239</f>
        <v>4264.1238999999996</v>
      </c>
      <c r="H130" s="23">
        <f>E130-G130</f>
        <v>9980.8761000000013</v>
      </c>
      <c r="I130" s="23">
        <f>4547.79998</f>
        <v>4547.7999799999998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409.94798</f>
        <v>409.94797999999997</v>
      </c>
      <c r="G132" s="95">
        <f>7847.86554+2028.128755</f>
        <v>9875.9942950000004</v>
      </c>
      <c r="H132" s="95">
        <f>E132-G132</f>
        <v>42620.005705000003</v>
      </c>
      <c r="I132" s="95">
        <f>16211.24129</f>
        <v>16211.24129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734.09211999999991</v>
      </c>
      <c r="G133" s="94">
        <f t="shared" ref="G133" si="14">G134+G139+G142</f>
        <v>45894.068305000001</v>
      </c>
      <c r="H133" s="94">
        <f>H134+H139+H142</f>
        <v>34270.931694999999</v>
      </c>
      <c r="I133" s="94">
        <f>I134+I139+I142</f>
        <v>46220.698469999996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647.71769999999992</v>
      </c>
      <c r="G134" s="125">
        <f>G135+G136+G138+G137</f>
        <v>33808.817244999998</v>
      </c>
      <c r="H134" s="125">
        <f>H135+H136+H137+H138</f>
        <v>25270.182755000002</v>
      </c>
      <c r="I134" s="125">
        <f>I135+I136+I137+I138</f>
        <v>36324.709259999996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81.90687</f>
        <v>81.906869999999998</v>
      </c>
      <c r="G135" s="127">
        <v>6546.9081399999995</v>
      </c>
      <c r="H135" s="127">
        <f>E135-G135</f>
        <v>11227.09186</v>
      </c>
      <c r="I135" s="127">
        <f>5817.74274</f>
        <v>5817.7427399999997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39.81397</f>
        <v>39.813969999999998</v>
      </c>
      <c r="G136" s="127">
        <v>10277.490085000001</v>
      </c>
      <c r="H136" s="127">
        <f>E136-G136</f>
        <v>4661.5099149999987</v>
      </c>
      <c r="I136" s="127">
        <f>10083.42273</f>
        <v>10083.42273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267.85326</f>
        <v>267.85325999999998</v>
      </c>
      <c r="G137" s="127">
        <v>9022.746869999999</v>
      </c>
      <c r="H137" s="127">
        <f>E137-G137</f>
        <v>4028.253130000001</v>
      </c>
      <c r="I137" s="127">
        <f>10147.04657</f>
        <v>10147.04657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258.1436</f>
        <v>258.14359999999999</v>
      </c>
      <c r="G138" s="127">
        <v>7961.6721500000003</v>
      </c>
      <c r="H138" s="127">
        <f>E138-G138</f>
        <v>5353.3278499999997</v>
      </c>
      <c r="I138" s="127">
        <f>10276.49722</f>
        <v>10276.497219999999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0</v>
      </c>
      <c r="G139" s="132">
        <f>SUM(G140:G141)</f>
        <v>8664.0056900000018</v>
      </c>
      <c r="H139" s="132">
        <f>H140+H141</f>
        <v>265.99430999999913</v>
      </c>
      <c r="I139" s="132">
        <f>SUM(I140:I141)</f>
        <v>6360.8813399999999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8286.89592</f>
        <v>8286.8959200000008</v>
      </c>
      <c r="H140" s="127">
        <f t="shared" ref="H140:H148" si="15">E140-G140</f>
        <v>143.10407999999916</v>
      </c>
      <c r="I140" s="127">
        <f>6229.81676</f>
        <v>6229.8167599999997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0</f>
        <v>0</v>
      </c>
      <c r="G141" s="127">
        <f>377.10977</f>
        <v>377.10977000000003</v>
      </c>
      <c r="H141" s="127">
        <f t="shared" si="15"/>
        <v>122.89022999999997</v>
      </c>
      <c r="I141" s="127">
        <f>131.06458</f>
        <v>131.06458000000001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86.37442</f>
        <v>86.374420000000001</v>
      </c>
      <c r="G142" s="75">
        <f>3421.24537</f>
        <v>3421.2453700000001</v>
      </c>
      <c r="H142" s="75">
        <f t="shared" si="15"/>
        <v>8734.7546299999995</v>
      </c>
      <c r="I142" s="75">
        <f>3535.10787</f>
        <v>3535.1078699999998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0.0027</f>
        <v>2.7000000000000001E-3</v>
      </c>
      <c r="G143" s="139">
        <f>15.71525</f>
        <v>15.715249999999999</v>
      </c>
      <c r="H143" s="139">
        <f t="shared" si="15"/>
        <v>130.28475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41.78</f>
        <v>41.78</v>
      </c>
      <c r="G144" s="98">
        <f>123.988</f>
        <v>123.988</v>
      </c>
      <c r="H144" s="98">
        <f t="shared" si="15"/>
        <v>126.012</v>
      </c>
      <c r="I144" s="98">
        <f>262.581</f>
        <v>262.58100000000002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13.05592</f>
        <v>13.05592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</f>
        <v>0</v>
      </c>
      <c r="G147" s="98">
        <f>38.14073</f>
        <v>38.140729999999998</v>
      </c>
      <c r="H147" s="139">
        <f t="shared" si="15"/>
        <v>237.85927000000001</v>
      </c>
      <c r="I147" s="98">
        <f>26.37763</f>
        <v>26.37763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109.17109</f>
        <v>109.17109000000001</v>
      </c>
      <c r="H148" s="139">
        <f t="shared" si="15"/>
        <v>-109.17109000000001</v>
      </c>
      <c r="I148" s="139">
        <f>91.08593</f>
        <v>91.085930000000005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1428.9740699999998</v>
      </c>
      <c r="G150" s="76">
        <f>G128+G132+G133+G143+G144+G145+G146+G147+G148</f>
        <v>96611.973399999988</v>
      </c>
      <c r="H150" s="76">
        <f>H128+H132+H133+H143+H144+H145+H146+H147+H148</f>
        <v>111028.02660000001</v>
      </c>
      <c r="I150" s="76">
        <f>I128+I132+I133+I143+I144+I145+I146+I147+I148</f>
        <v>102197.78872000001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17.72633</f>
        <v>17.726330000000001</v>
      </c>
      <c r="F175" s="275">
        <f>510.91573</f>
        <v>510.91573</v>
      </c>
      <c r="G175" s="43">
        <f>D175-F175-F176</f>
        <v>2580.4798799999999</v>
      </c>
      <c r="H175" s="275">
        <f>943.18371</f>
        <v>943.18371000000002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1131.60439</f>
        <v>1131.60439</v>
      </c>
      <c r="G176" s="216"/>
      <c r="H176" s="152">
        <f>767.38261</f>
        <v>767.38261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82.16938</f>
        <v>82.169380000000004</v>
      </c>
      <c r="G177" s="172">
        <f>D177-F177</f>
        <v>117.83062</v>
      </c>
      <c r="H177" s="172">
        <f>55.41002</f>
        <v>55.410020000000003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686.45822999999996</v>
      </c>
      <c r="F178" s="181">
        <f>F179+F180+F181</f>
        <v>3805.4295200000001</v>
      </c>
      <c r="G178" s="181">
        <f>D178-F178</f>
        <v>2528.5704799999999</v>
      </c>
      <c r="H178" s="181">
        <f>H179+H180+H181</f>
        <v>4792.4184100000002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397.20029</f>
        <v>397.20029</v>
      </c>
      <c r="F179" s="127">
        <f>1845.15688</f>
        <v>1845.15688</v>
      </c>
      <c r="G179" s="127"/>
      <c r="H179" s="127">
        <f>2236.49467</f>
        <v>2236.49467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223.80142</f>
        <v>223.80142000000001</v>
      </c>
      <c r="F180" s="127">
        <f>1197.50682</f>
        <v>1197.5068200000001</v>
      </c>
      <c r="G180" s="127"/>
      <c r="H180" s="127">
        <f>1567.99684</f>
        <v>1567.99684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65.45652</f>
        <v>65.456519999999998</v>
      </c>
      <c r="F181" s="192">
        <f>762.76582</f>
        <v>762.76581999999996</v>
      </c>
      <c r="G181" s="192"/>
      <c r="H181" s="192">
        <f>987.9269</f>
        <v>987.92690000000005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704.18455999999992</v>
      </c>
      <c r="F184" s="194">
        <f>F175+F176+F177+F178+F182+F183</f>
        <v>5530.1190200000001</v>
      </c>
      <c r="G184" s="194">
        <f>D184-F184</f>
        <v>5292.8809799999999</v>
      </c>
      <c r="H184" s="194">
        <f>H175+H176+H177+H178+H182+H183</f>
        <v>6558.3947500000004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1358.19041</f>
        <v>1358.1904099999999</v>
      </c>
      <c r="F204" s="124">
        <f>28853.2772</f>
        <v>28853.2772</v>
      </c>
      <c r="G204" s="124">
        <f>D204-F204</f>
        <v>17428.7228</v>
      </c>
      <c r="H204" s="124">
        <f>34776.13708</f>
        <v>34776.13708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0.0345</f>
        <v>3.4500000000000003E-2</v>
      </c>
      <c r="F205" s="124">
        <f>24.22558</f>
        <v>24.225580000000001</v>
      </c>
      <c r="G205" s="124">
        <f>D205-F205</f>
        <v>75.774419999999992</v>
      </c>
      <c r="H205" s="124">
        <f>16.03375</f>
        <v>16.033750000000001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1358.2249099999999</v>
      </c>
      <c r="F207" s="190">
        <f>SUM(F204:F206)</f>
        <v>28877.502779999999</v>
      </c>
      <c r="G207" s="190">
        <f>D207-F207</f>
        <v>17540.497220000001</v>
      </c>
      <c r="H207" s="190">
        <f>SUM(H204:H206)</f>
        <v>34792.170830000003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0.40379999999999999</v>
      </c>
      <c r="F249" s="75">
        <f>F250+F251</f>
        <v>2964.4901400000003</v>
      </c>
      <c r="G249" s="75">
        <f>D249-F249</f>
        <v>1022.5098599999997</v>
      </c>
      <c r="H249" s="75">
        <f>H250+H251</f>
        <v>1923.1670200000001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0</f>
        <v>0</v>
      </c>
      <c r="F250" s="75">
        <f>2483.26315</f>
        <v>2483.2631500000002</v>
      </c>
      <c r="G250" s="75"/>
      <c r="H250" s="75">
        <f>1464.95719</f>
        <v>1464.9571900000001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0.4038</f>
        <v>0.40379999999999999</v>
      </c>
      <c r="F251" s="124">
        <f>481.22699</f>
        <v>481.22699</v>
      </c>
      <c r="G251" s="168"/>
      <c r="H251" s="124">
        <f>458.20983</f>
        <v>458.20983000000001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132.6391</f>
        <v>132.63910000000001</v>
      </c>
      <c r="F252" s="75">
        <f>4436.00849</f>
        <v>4436.0084900000002</v>
      </c>
      <c r="G252" s="75">
        <f>D252-F252</f>
        <v>176.99150999999983</v>
      </c>
      <c r="H252" s="75">
        <f>4041.24469</f>
        <v>4041.24469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133.0429</v>
      </c>
      <c r="F253" s="190">
        <f>SUM(F249,F252)</f>
        <v>7400.49863</v>
      </c>
      <c r="G253" s="190">
        <f>D253-F253</f>
        <v>1199.50137</v>
      </c>
      <c r="H253" s="190">
        <f>SUM(H249,H252)</f>
        <v>5964.4117100000003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1.0318000000000001</v>
      </c>
      <c r="F295" s="75">
        <f>F296+F297</f>
        <v>3368.5592899999997</v>
      </c>
      <c r="G295" s="75">
        <f>D295-F295</f>
        <v>1721.4407100000003</v>
      </c>
      <c r="H295" s="75">
        <f>H296+H297</f>
        <v>2064.0140000000001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0</f>
        <v>0</v>
      </c>
      <c r="F296" s="75">
        <f>2956.01446</f>
        <v>2956.0144599999999</v>
      </c>
      <c r="G296" s="75"/>
      <c r="H296" s="75">
        <f>1673.74221</f>
        <v>1673.7422099999999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1.0318</f>
        <v>1.0318000000000001</v>
      </c>
      <c r="F297" s="124">
        <f>412.54483</f>
        <v>412.54482999999999</v>
      </c>
      <c r="G297" s="168"/>
      <c r="H297" s="124">
        <f>390.27179</f>
        <v>390.27179000000001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42.27723</f>
        <v>42.277230000000003</v>
      </c>
      <c r="F298" s="75">
        <f>1922.73209</f>
        <v>1922.73209</v>
      </c>
      <c r="G298" s="75">
        <f>D298-F298</f>
        <v>1058.26791</v>
      </c>
      <c r="H298" s="75">
        <f>1972.99116</f>
        <v>1972.99116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43.30903</v>
      </c>
      <c r="F299" s="190">
        <f>SUM(F295,F298)</f>
        <v>5291.2913799999997</v>
      </c>
      <c r="G299" s="190">
        <f>D299-F299</f>
        <v>2779.7086200000003</v>
      </c>
      <c r="H299" s="190">
        <f>SUM(H295,H298)</f>
        <v>4037.0051600000002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30.7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6.11152</f>
        <v>6.1115199999999996</v>
      </c>
      <c r="F350" s="124">
        <f>315.33933</f>
        <v>315.33933000000002</v>
      </c>
      <c r="G350" s="124">
        <f>D350-F350</f>
        <v>484.66066999999998</v>
      </c>
      <c r="H350" s="124">
        <f>245.10921</f>
        <v>245.10920999999999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29.9065</f>
        <v>29.906500000000001</v>
      </c>
      <c r="F351" s="124">
        <f>672.89402</f>
        <v>672.89401999999995</v>
      </c>
      <c r="G351" s="124">
        <f>D351-F351</f>
        <v>2368.1059800000003</v>
      </c>
      <c r="H351" s="124">
        <f>730.35091</f>
        <v>730.35091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0.63874</f>
        <v>0.63873999999999997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1.64724</f>
        <v>1.64724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36.01802</v>
      </c>
      <c r="F354" s="190">
        <f>SUM(F350:F353)</f>
        <v>991.93396999999993</v>
      </c>
      <c r="G354" s="190">
        <f>D354-F354</f>
        <v>2859.06603</v>
      </c>
      <c r="H354" s="190">
        <f>H350+H351+H352+H353</f>
        <v>977.74609999999996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188.98882</v>
      </c>
      <c r="G380" s="252">
        <f t="shared" si="17"/>
        <v>6811.6695299999992</v>
      </c>
      <c r="H380" s="252">
        <f>H384+H383+H382+H381</f>
        <v>16157.330469999999</v>
      </c>
      <c r="I380" s="252">
        <f t="shared" si="17"/>
        <v>5045.2106000000003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138.7071</f>
        <v>138.7071</v>
      </c>
      <c r="G381" s="256">
        <f>4157.25401</f>
        <v>4157.2540099999997</v>
      </c>
      <c r="H381" s="256">
        <f t="shared" ref="H381:H385" si="18">E381-G381</f>
        <v>9032.7459899999994</v>
      </c>
      <c r="I381" s="256">
        <f>2008.18667</f>
        <v>2008.18667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832.04145</f>
        <v>832.04145000000005</v>
      </c>
      <c r="H382" s="256">
        <f t="shared" si="18"/>
        <v>2600.9585499999998</v>
      </c>
      <c r="I382" s="256">
        <f>806.0337</f>
        <v>806.03369999999995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4.54092</f>
        <v>4.5409199999999998</v>
      </c>
      <c r="G383" s="256">
        <f>1163.34001</f>
        <v>1163.3400099999999</v>
      </c>
      <c r="H383" s="256">
        <f t="shared" si="18"/>
        <v>319.65999000000011</v>
      </c>
      <c r="I383" s="256">
        <f>1280.87113</f>
        <v>1280.87113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45.7408</f>
        <v>45.7408</v>
      </c>
      <c r="G384" s="256">
        <f>659.03406</f>
        <v>659.03405999999995</v>
      </c>
      <c r="H384" s="256">
        <f t="shared" si="18"/>
        <v>4203.96594</v>
      </c>
      <c r="I384" s="256">
        <f>950.1191</f>
        <v>950.1191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15.18172</f>
        <v>15.18172</v>
      </c>
      <c r="G385" s="267">
        <f>2077.83314</f>
        <v>2077.8331400000002</v>
      </c>
      <c r="H385" s="267">
        <f t="shared" si="18"/>
        <v>3422.1668599999998</v>
      </c>
      <c r="I385" s="267">
        <f>4644.92706</f>
        <v>4644.92706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32.331029999999998</v>
      </c>
      <c r="G386" s="268">
        <f>G388+G387</f>
        <v>1586.3287599999999</v>
      </c>
      <c r="H386" s="268">
        <f>E386-G386</f>
        <v>6413.6712399999997</v>
      </c>
      <c r="I386" s="268">
        <f>I388+I387</f>
        <v>1982.3320100000001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525.57129</f>
        <v>525.57128999999998</v>
      </c>
      <c r="H387" s="256"/>
      <c r="I387" s="256">
        <f>750.55719</f>
        <v>750.55718999999999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32.33103</f>
        <v>32.331029999999998</v>
      </c>
      <c r="G388" s="277">
        <f>1060.75747</f>
        <v>1060.75747</v>
      </c>
      <c r="H388" s="277"/>
      <c r="I388" s="277">
        <f>1231.77482</f>
        <v>1231.7748200000001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0.1164</f>
        <v>0.1164</v>
      </c>
      <c r="H389" s="267">
        <f>E389-G389</f>
        <v>12.883599999999999</v>
      </c>
      <c r="I389" s="267">
        <f>0.0735</f>
        <v>7.3499999999999996E-2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3.7846</f>
        <v>3.7846000000000002</v>
      </c>
      <c r="G390" s="267">
        <f>18.25076</f>
        <v>18.25076</v>
      </c>
      <c r="H390" s="267">
        <f>E390-G390</f>
        <v>-18.25076</v>
      </c>
      <c r="I390" s="267">
        <f>30.17332</f>
        <v>30.17332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240.28617000000003</v>
      </c>
      <c r="G391" s="286">
        <f t="shared" si="19"/>
        <v>10494.198590000002</v>
      </c>
      <c r="H391" s="286">
        <f>H380+H385+H386+H389+H390</f>
        <v>25987.80141</v>
      </c>
      <c r="I391" s="286">
        <f t="shared" si="19"/>
        <v>11702.716490000001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120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78.787599999999998</v>
      </c>
      <c r="F419" s="36">
        <f>SUM(F420:F421)</f>
        <v>1181.85511</v>
      </c>
      <c r="G419" s="85">
        <f>D419-F419</f>
        <v>53.144890000000032</v>
      </c>
      <c r="H419" s="36">
        <f>SUM(H420:H421)</f>
        <v>1645.1739700000001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70.6421</f>
        <v>70.642099999999999</v>
      </c>
      <c r="F420" s="30">
        <f>865.56094</f>
        <v>865.56093999999996</v>
      </c>
      <c r="G420" s="97"/>
      <c r="H420" s="30">
        <f>1200.95768</f>
        <v>1200.95768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8.1455</f>
        <v>8.1455000000000002</v>
      </c>
      <c r="F421" s="30">
        <f>316.29417</f>
        <v>316.29417000000001</v>
      </c>
      <c r="G421" s="108"/>
      <c r="H421" s="30">
        <f>444.21629</f>
        <v>444.21629000000001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78.787599999999998</v>
      </c>
      <c r="F423" s="40">
        <f>F413+F416+F419+F422</f>
        <v>3392.2553199999998</v>
      </c>
      <c r="G423" s="41"/>
      <c r="H423" s="40">
        <f>H413+H416+H419+H422</f>
        <v>5377.2176300000001</v>
      </c>
      <c r="I423" s="27"/>
      <c r="J423" s="130"/>
    </row>
    <row r="424" spans="1:10" ht="42" customHeight="1" x14ac:dyDescent="0.25">
      <c r="A424" s="217"/>
      <c r="B424" s="72"/>
      <c r="C424" s="292" t="s">
        <v>121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24&amp;R17.06.2024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2024-06-17T07:22:15Z</dcterms:modified>
</cp:coreProperties>
</file>