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7276BABE-F142-403C-9F85-77563411B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E417" i="1"/>
  <c r="H416" i="1"/>
  <c r="F416" i="1"/>
  <c r="G416" i="1" s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I382" i="1"/>
  <c r="H382" i="1"/>
  <c r="G382" i="1"/>
  <c r="F382" i="1"/>
  <c r="I381" i="1"/>
  <c r="H381" i="1"/>
  <c r="G381" i="1"/>
  <c r="F381" i="1"/>
  <c r="H380" i="1"/>
  <c r="H391" i="1" s="1"/>
  <c r="G380" i="1"/>
  <c r="G391" i="1" s="1"/>
  <c r="F380" i="1"/>
  <c r="F391" i="1" s="1"/>
  <c r="D380" i="1"/>
  <c r="D391" i="1" s="1"/>
  <c r="H372" i="1"/>
  <c r="F372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F249" i="1" s="1"/>
  <c r="E250" i="1"/>
  <c r="H207" i="1"/>
  <c r="D207" i="1"/>
  <c r="H206" i="1"/>
  <c r="G206" i="1"/>
  <c r="F206" i="1"/>
  <c r="E206" i="1"/>
  <c r="H205" i="1"/>
  <c r="F205" i="1"/>
  <c r="F207" i="1" s="1"/>
  <c r="G207" i="1" s="1"/>
  <c r="E205" i="1"/>
  <c r="H204" i="1"/>
  <c r="G204" i="1"/>
  <c r="F204" i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F178" i="1" s="1"/>
  <c r="E180" i="1"/>
  <c r="E178" i="1" s="1"/>
  <c r="H179" i="1"/>
  <c r="H178" i="1" s="1"/>
  <c r="F179" i="1"/>
  <c r="E179" i="1"/>
  <c r="H177" i="1"/>
  <c r="G177" i="1"/>
  <c r="F177" i="1"/>
  <c r="E177" i="1"/>
  <c r="H176" i="1"/>
  <c r="F176" i="1"/>
  <c r="E176" i="1"/>
  <c r="H175" i="1"/>
  <c r="G175" i="1"/>
  <c r="F175" i="1"/>
  <c r="E175" i="1"/>
  <c r="D169" i="1"/>
  <c r="D167" i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H140" i="1"/>
  <c r="G140" i="1"/>
  <c r="F140" i="1"/>
  <c r="H139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H135" i="1"/>
  <c r="F135" i="1"/>
  <c r="F134" i="1"/>
  <c r="F133" i="1" s="1"/>
  <c r="E134" i="1"/>
  <c r="E133" i="1" s="1"/>
  <c r="D134" i="1"/>
  <c r="D133" i="1" s="1"/>
  <c r="I132" i="1"/>
  <c r="H132" i="1"/>
  <c r="F132" i="1"/>
  <c r="I131" i="1"/>
  <c r="H131" i="1"/>
  <c r="G131" i="1"/>
  <c r="F131" i="1"/>
  <c r="I130" i="1"/>
  <c r="G130" i="1"/>
  <c r="H130" i="1" s="1"/>
  <c r="H128" i="1" s="1"/>
  <c r="F130" i="1"/>
  <c r="I129" i="1"/>
  <c r="H129" i="1"/>
  <c r="G129" i="1"/>
  <c r="F129" i="1"/>
  <c r="F128" i="1" s="1"/>
  <c r="F150" i="1" s="1"/>
  <c r="I128" i="1"/>
  <c r="E128" i="1"/>
  <c r="E150" i="1" s="1"/>
  <c r="D128" i="1"/>
  <c r="D150" i="1" s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H96" i="1" s="1"/>
  <c r="H95" i="1" s="1"/>
  <c r="G97" i="1"/>
  <c r="F97" i="1"/>
  <c r="F96" i="1"/>
  <c r="E96" i="1"/>
  <c r="E95" i="1" s="1"/>
  <c r="D96" i="1"/>
  <c r="D95" i="1" s="1"/>
  <c r="F95" i="1"/>
  <c r="I94" i="1"/>
  <c r="I92" i="1" s="1"/>
  <c r="I107" i="1" s="1"/>
  <c r="H94" i="1"/>
  <c r="H92" i="1" s="1"/>
  <c r="G94" i="1"/>
  <c r="F94" i="1"/>
  <c r="I93" i="1"/>
  <c r="G93" i="1"/>
  <c r="H93" i="1" s="1"/>
  <c r="F93" i="1"/>
  <c r="F92" i="1" s="1"/>
  <c r="F107" i="1" s="1"/>
  <c r="E92" i="1"/>
  <c r="E107" i="1" s="1"/>
  <c r="D92" i="1"/>
  <c r="D107" i="1" s="1"/>
  <c r="C89" i="1"/>
  <c r="H85" i="1"/>
  <c r="F85" i="1"/>
  <c r="D85" i="1"/>
  <c r="G61" i="1"/>
  <c r="G60" i="1"/>
  <c r="H55" i="1"/>
  <c r="F55" i="1"/>
  <c r="G32" i="1" s="1"/>
  <c r="E55" i="1"/>
  <c r="I43" i="1"/>
  <c r="G43" i="1"/>
  <c r="H43" i="1" s="1"/>
  <c r="F43" i="1"/>
  <c r="H42" i="1"/>
  <c r="I41" i="1"/>
  <c r="H41" i="1"/>
  <c r="G41" i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I26" i="1" s="1"/>
  <c r="G35" i="1"/>
  <c r="F35" i="1"/>
  <c r="E35" i="1"/>
  <c r="D34" i="1"/>
  <c r="I33" i="1"/>
  <c r="H33" i="1"/>
  <c r="G33" i="1"/>
  <c r="F33" i="1"/>
  <c r="I32" i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I27" i="1" s="1"/>
  <c r="G28" i="1"/>
  <c r="H28" i="1" s="1"/>
  <c r="F28" i="1"/>
  <c r="F27" i="1"/>
  <c r="E27" i="1"/>
  <c r="E26" i="1" s="1"/>
  <c r="E44" i="1" s="1"/>
  <c r="D27" i="1"/>
  <c r="D26" i="1"/>
  <c r="I25" i="1"/>
  <c r="I23" i="1" s="1"/>
  <c r="G25" i="1"/>
  <c r="H25" i="1" s="1"/>
  <c r="H23" i="1" s="1"/>
  <c r="F25" i="1"/>
  <c r="F23" i="1" s="1"/>
  <c r="I24" i="1"/>
  <c r="H24" i="1"/>
  <c r="G24" i="1"/>
  <c r="F24" i="1"/>
  <c r="G23" i="1"/>
  <c r="E23" i="1"/>
  <c r="D23" i="1"/>
  <c r="D44" i="1" s="1"/>
  <c r="H16" i="1"/>
  <c r="F16" i="1"/>
  <c r="D16" i="1"/>
  <c r="H134" i="1" l="1"/>
  <c r="H133" i="1" s="1"/>
  <c r="I44" i="1"/>
  <c r="G34" i="1"/>
  <c r="G26" i="1" s="1"/>
  <c r="G44" i="1" s="1"/>
  <c r="H35" i="1"/>
  <c r="F34" i="1"/>
  <c r="F26" i="1" s="1"/>
  <c r="F44" i="1" s="1"/>
  <c r="G27" i="1"/>
  <c r="H32" i="1"/>
  <c r="H150" i="1"/>
  <c r="G178" i="1"/>
  <c r="F184" i="1"/>
  <c r="G184" i="1" s="1"/>
  <c r="H107" i="1"/>
  <c r="E184" i="1"/>
  <c r="F299" i="1"/>
  <c r="G295" i="1"/>
  <c r="H27" i="1"/>
  <c r="G249" i="1"/>
  <c r="F253" i="1"/>
  <c r="G253" i="1" s="1"/>
  <c r="G299" i="1"/>
  <c r="H184" i="1"/>
  <c r="F423" i="1"/>
  <c r="G413" i="1"/>
  <c r="G205" i="1"/>
  <c r="G92" i="1"/>
  <c r="G128" i="1"/>
  <c r="G96" i="1"/>
  <c r="G95" i="1" s="1"/>
  <c r="G55" i="1"/>
  <c r="G134" i="1"/>
  <c r="G133" i="1" s="1"/>
  <c r="G150" i="1" l="1"/>
  <c r="H34" i="1"/>
  <c r="G107" i="1"/>
  <c r="H26" i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<sst xmlns="http://schemas.openxmlformats.org/spreadsheetml/2006/main" count="359" uniqueCount="152">
  <si>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</si>
  <si>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</si>
  <si>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</si>
  <si>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</si>
  <si>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</si>
  <si>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</si>
  <si>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</si>
  <si>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</si>
  <si>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</si>
  <si>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</si>
  <si>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</si>
  <si>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</si>
  <si>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</si>
  <si>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</si>
  <si>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</si>
  <si>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</si>
  <si>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</si>
  <si>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</si>
  <si>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</si>
  <si>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</si>
  <si>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</si>
  <si>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</si>
  <si>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</si>
  <si>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</si>
  <si>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</si>
  <si>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</si>
  <si>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</si>
  <si>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</si>
  <si>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</si>
  <si>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</si>
  <si>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</si>
  <si>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</si>
  <si>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</si>
  <si>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</si>
  <si>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</si>
  <si>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</si>
  <si>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</si>
  <si>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</si>
  <si>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</si>
  <si>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</si>
  <si>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</si>
  <si>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</si>
  <si>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</si>
  <si>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</si>
  <si>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</si>
  <si>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</si>
  <si>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</si>
  <si>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</si>
  <si>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</si>
  <si>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</si>
  <si>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</si>
  <si>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</si>
  <si>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</si>
  <si>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</si>
  <si>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</si>
  <si>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</si>
  <si>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</si>
  <si>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</si>
  <si>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</si>
  <si>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</si>
  <si>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</si>
  <si>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</si>
  <si>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</si>
  <si>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</si>
  <si>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</si>
  <si>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</si>
  <si>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</si>
  <si>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</si>
  <si>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</si>
  <si>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</si>
  <si>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</si>
  <si>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</si>
  <si>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</si>
  <si>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</si>
  <si>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</si>
  <si>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</si>
  <si>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</si>
  <si>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</si>
  <si>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</si>
  <si>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</si>
  <si>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</si>
  <si>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</si>
  <si>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</si>
  <si>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</si>
  <si>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</si>
  <si>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</si>
  <si>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</si>
  <si>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</si>
  <si>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</si>
  <si>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</si>
  <si>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</si>
  <si>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</si>
  <si>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</si>
  <si>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</si>
  <si>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</si>
  <si>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</si>
  <si>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</si>
  <si>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</si>
  <si>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</si>
  <si>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</si>
  <si>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</si>
  <si>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</si>
  <si>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</si>
  <si>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</si>
  <si>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</si>
  <si>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</si>
  <si>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</si>
  <si>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</si>
  <si>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</si>
  <si>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</si>
  <si>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</si>
  <si>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</si>
  <si>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</si>
  <si>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</si>
  <si>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</si>
  <si>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</si>
  <si>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</si>
  <si>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</si>
  <si>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</si>
  <si>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</si>
  <si>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</si>
  <si>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</si>
  <si>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</si>
  <si>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</si>
  <si>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</si>
  <si>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</si>
  <si>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</si>
  <si>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</si>
  <si>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</si>
  <si>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</si>
  <si>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</si>
  <si>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</si>
  <si>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</si>
  <si>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</si>
  <si>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</si>
  <si>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</si>
  <si>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</si>
  <si>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</si>
  <si>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</si>
  <si>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</si>
  <si>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</si>
  <si>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</si>
  <si>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</si>
  <si>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</si>
  <si>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46 tonn, men det legges til grunn at hele avsetningen tas</t>
  </si>
  <si>
    <t>4 Registrert rekreasjonsfiske utgjør 213 tonn, men det legges til grunn at hele avsetningen tas</t>
  </si>
  <si>
    <t>3 Registrert rekreasjonsfiske utgjør 609 tonn, men det legges til grunn at hele avsetningen tas</t>
  </si>
  <si>
    <t>FANGST UKE 23</t>
  </si>
  <si>
    <t>FANGST T.O.M UKE 23</t>
  </si>
  <si>
    <t>RESTKVOTER UKE 23</t>
  </si>
  <si>
    <t>FANGST T.O.M UKE 23 2023</t>
  </si>
  <si>
    <r>
      <t>3</t>
    </r>
    <r>
      <rPr>
        <sz val="9"/>
        <color indexed="8"/>
        <rFont val="Calibri"/>
        <family val="2"/>
      </rPr>
      <t xml:space="preserve"> Det er fisket 1 733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</si>
</sst>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249" zoomScale="85" zoomScaleNormal="85" zoomScaleSheetLayoutView="100" zoomScalePageLayoutView="85" workbookViewId="0">
      <selection activeCell="G334" sqref="G33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123.35508</v>
      </c>
      <c r="G23" s="28">
        <f t="shared" si="0"/>
        <v>36056.908950000005</v>
      </c>
      <c r="H23" s="11">
        <f t="shared" si="0"/>
        <v>24755.091049999999</v>
      </c>
      <c r="I23" s="11">
        <f t="shared" si="0"/>
        <v>45951.510190000001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112.18458</f>
        <v>112.18458</v>
      </c>
      <c r="G24" s="23">
        <f>35584.71366</f>
        <v>35584.713660000001</v>
      </c>
      <c r="H24" s="23">
        <f>E24-G24</f>
        <v>24457.286339999999</v>
      </c>
      <c r="I24" s="23">
        <f>45718.22245</f>
        <v>45718.222450000001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11.1705</f>
        <v>11.170500000000001</v>
      </c>
      <c r="G25" s="23">
        <f>472.19529</f>
        <v>472.19529</v>
      </c>
      <c r="H25" s="23">
        <f>E25-G25</f>
        <v>297.80471</v>
      </c>
      <c r="I25" s="23">
        <f>233.28774</f>
        <v>233.28774000000001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848.40689999999995</v>
      </c>
      <c r="G26" s="11">
        <f t="shared" si="1"/>
        <v>114935.71437</v>
      </c>
      <c r="H26" s="11">
        <f t="shared" si="1"/>
        <v>29938.285629999998</v>
      </c>
      <c r="I26" s="11">
        <f t="shared" si="1"/>
        <v>164426.99832000001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345.85588000000001</v>
      </c>
      <c r="G27" s="132">
        <f t="shared" ref="G27:I27" si="2">G28+G29+G30+G31+G32</f>
        <v>94212.499970000004</v>
      </c>
      <c r="H27" s="132">
        <f t="shared" si="2"/>
        <v>18765.500029999999</v>
      </c>
      <c r="I27" s="132">
        <f t="shared" si="2"/>
        <v>129370.34993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116.88426</f>
        <v>116.88426</v>
      </c>
      <c r="G28" s="127">
        <f>25192.67592 - F56</f>
        <v>25192.675920000001</v>
      </c>
      <c r="H28" s="127">
        <f t="shared" ref="H28:H40" si="3">E28-G28</f>
        <v>3437.3240799999985</v>
      </c>
      <c r="I28" s="127">
        <f>35652.34762 - H56</f>
        <v>35652.34762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114.89825</f>
        <v>114.89825</v>
      </c>
      <c r="G29" s="127">
        <f>26510.59811 - F57</f>
        <v>26510.598109999999</v>
      </c>
      <c r="H29" s="127">
        <f t="shared" si="3"/>
        <v>3154.401890000001</v>
      </c>
      <c r="I29" s="127">
        <f>36507.3532899999 - H57</f>
        <v>36507.353289999999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40.21654</f>
        <v>40.216540000000002</v>
      </c>
      <c r="G30" s="127">
        <f>24653.78966 - F58</f>
        <v>24653.789659999999</v>
      </c>
      <c r="H30" s="127">
        <f t="shared" si="3"/>
        <v>2590.2103400000015</v>
      </c>
      <c r="I30" s="127">
        <f>33880.2256599999 - H58</f>
        <v>33880.225659999996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73.85683</f>
        <v>73.856830000000002</v>
      </c>
      <c r="G31" s="127">
        <f>17855.43628 - F59</f>
        <v>17855.436280000002</v>
      </c>
      <c r="H31" s="127">
        <f t="shared" si="3"/>
        <v>1483.5637199999983</v>
      </c>
      <c r="I31" s="127">
        <f>23330.42336 - H59</f>
        <v>23330.423360000001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377.01775</f>
        <v>377.01774999999998</v>
      </c>
      <c r="G33" s="132">
        <f>9534.93674</f>
        <v>9534.9367399999992</v>
      </c>
      <c r="H33" s="132">
        <f t="shared" si="3"/>
        <v>7324.0632600000008</v>
      </c>
      <c r="I33" s="132">
        <f>13351.7748</f>
        <v>13351.774799999999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125.53327</v>
      </c>
      <c r="G34" s="132">
        <f>G35+G36</f>
        <v>11188.27766</v>
      </c>
      <c r="H34" s="132">
        <f t="shared" si="3"/>
        <v>3848.7223400000003</v>
      </c>
      <c r="I34" s="132">
        <f>I35+I36</f>
        <v>21704.873589999999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125.53327</f>
        <v>125.53327</v>
      </c>
      <c r="G35" s="132">
        <f>13696.27766 - F60 - F61</f>
        <v>11188.27766</v>
      </c>
      <c r="H35" s="127">
        <f t="shared" si="3"/>
        <v>2888.7223400000003</v>
      </c>
      <c r="I35" s="127">
        <f>23165.87359 - H60 - H61</f>
        <v>21704.873589999999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318.034</f>
        <v>318.03399999999999</v>
      </c>
      <c r="H37" s="139">
        <f t="shared" si="3"/>
        <v>1681.9659999999999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0.0795</f>
        <v>7.9500000000000001E-2</v>
      </c>
      <c r="G38" s="98">
        <f>453.99767</f>
        <v>453.99767000000003</v>
      </c>
      <c r="H38" s="98">
        <f t="shared" si="3"/>
        <v>401.00232999999997</v>
      </c>
      <c r="I38" s="98">
        <f>479.96274</f>
        <v>479.96274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31</v>
      </c>
      <c r="G39" s="98">
        <f>F61</f>
        <v>2508</v>
      </c>
      <c r="H39" s="98">
        <f t="shared" si="3"/>
        <v>492</v>
      </c>
      <c r="I39" s="98">
        <f>H61</f>
        <v>1461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6.1172</f>
        <v>6.1172000000000004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1.387</f>
        <v>1.387</v>
      </c>
      <c r="G41" s="98">
        <f>314.70661</f>
        <v>314.70661000000001</v>
      </c>
      <c r="H41" s="98">
        <f>E41-G41</f>
        <v>85.293389999999988</v>
      </c>
      <c r="I41" s="98">
        <f>335.52115</f>
        <v>335.52114999999998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85.43626</f>
        <v>85.436260000000004</v>
      </c>
      <c r="H43" s="139">
        <f t="shared" ref="H43" si="4">E43-G43</f>
        <v>-85.436260000000004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1010.34568</v>
      </c>
      <c r="G44" s="76">
        <f t="shared" si="5"/>
        <v>161672.80186000001</v>
      </c>
      <c r="H44" s="76">
        <f t="shared" si="5"/>
        <v>57368.19814</v>
      </c>
      <c r="I44" s="76">
        <f t="shared" si="5"/>
        <v>220479.99766999998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31</v>
      </c>
      <c r="F61" s="139">
        <v>2508</v>
      </c>
      <c r="G61" s="139">
        <f>D61-F61</f>
        <v>492</v>
      </c>
      <c r="H61" s="139">
        <v>1461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38.29034</v>
      </c>
      <c r="G92" s="11">
        <f t="shared" si="6"/>
        <v>22713.835629999998</v>
      </c>
      <c r="H92" s="11">
        <f t="shared" si="6"/>
        <v>3247.1643700000013</v>
      </c>
      <c r="I92" s="11">
        <f t="shared" si="6"/>
        <v>38526.249100000001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38.29034</f>
        <v>38.29034</v>
      </c>
      <c r="G93" s="23">
        <f>21942.46118</f>
        <v>21942.461179999998</v>
      </c>
      <c r="H93" s="23">
        <f>E93-G93</f>
        <v>3193.5388200000016</v>
      </c>
      <c r="I93" s="23">
        <f>38032.05316</f>
        <v>38032.053160000003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771.37445</f>
        <v>771.37445000000002</v>
      </c>
      <c r="H94" s="50">
        <f>E94-G94</f>
        <v>53.625549999999976</v>
      </c>
      <c r="I94" s="50">
        <f>494.19594</f>
        <v>494.19594000000001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1639.2182499999999</v>
      </c>
      <c r="G95" s="11">
        <f t="shared" si="7"/>
        <v>28524.963929999998</v>
      </c>
      <c r="H95" s="11">
        <f t="shared" si="7"/>
        <v>20469.036069999998</v>
      </c>
      <c r="I95" s="11">
        <f t="shared" si="7"/>
        <v>18973.030649999997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1430.9419800000001</v>
      </c>
      <c r="G96" s="132">
        <f t="shared" si="8"/>
        <v>21915.809249999998</v>
      </c>
      <c r="H96" s="132">
        <f t="shared" si="8"/>
        <v>15578.19075</v>
      </c>
      <c r="I96" s="132">
        <f t="shared" si="8"/>
        <v>13137.218079999999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43.25</f>
        <v>43.25</v>
      </c>
      <c r="G97" s="127">
        <f>3872.53044</f>
        <v>3872.53044</v>
      </c>
      <c r="H97" s="127">
        <f t="shared" ref="H97:H104" si="9">E97-G97</f>
        <v>6142.4695599999995</v>
      </c>
      <c r="I97" s="127">
        <f>2253.96874</f>
        <v>2253.9687399999998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606.22519</f>
        <v>606.22519</v>
      </c>
      <c r="G98" s="127">
        <f>7343.54068</f>
        <v>7343.5406800000001</v>
      </c>
      <c r="H98" s="127">
        <f t="shared" si="9"/>
        <v>3270.4593199999999</v>
      </c>
      <c r="I98" s="127">
        <f>4202.28229</f>
        <v>4202.2822900000001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367.09584</f>
        <v>367.09584000000001</v>
      </c>
      <c r="G99" s="127">
        <f>6882.21878</f>
        <v>6882.2187800000002</v>
      </c>
      <c r="H99" s="127">
        <f t="shared" si="9"/>
        <v>3229.7812199999998</v>
      </c>
      <c r="I99" s="127">
        <f>3488.42634</f>
        <v>3488.42634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414.37095</f>
        <v>414.37094999999999</v>
      </c>
      <c r="G100" s="127">
        <f>3817.51935</f>
        <v>3817.51935</v>
      </c>
      <c r="H100" s="127">
        <f t="shared" si="9"/>
        <v>2935.48065</v>
      </c>
      <c r="I100" s="127">
        <f>3192.54071</f>
        <v>3192.5407100000002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187.14772</f>
        <v>187.14771999999999</v>
      </c>
      <c r="G101" s="132">
        <f>4925.10397</f>
        <v>4925.1039700000001</v>
      </c>
      <c r="H101" s="132">
        <f t="shared" si="9"/>
        <v>2670.8960299999999</v>
      </c>
      <c r="I101" s="132">
        <f>4716.18363</f>
        <v>4716.1836300000004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21.12855</f>
        <v>21.128550000000001</v>
      </c>
      <c r="G102" s="75">
        <f>1684.05071</f>
        <v>1684.05071</v>
      </c>
      <c r="H102" s="75">
        <f t="shared" si="9"/>
        <v>2219.94929</v>
      </c>
      <c r="I102" s="75">
        <f>1119.62894</f>
        <v>1119.6289400000001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0.1139</f>
        <v>0.1139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0.047</f>
        <v>4.7E-2</v>
      </c>
      <c r="G105" s="98">
        <f>19.37106</f>
        <v>19.37106</v>
      </c>
      <c r="H105" s="139">
        <f>E105-G105</f>
        <v>30.62894</v>
      </c>
      <c r="I105" s="98">
        <f>6.84446</f>
        <v>6.8444599999999998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16.04012</f>
        <v>16.040120000000002</v>
      </c>
      <c r="H106" s="139">
        <f t="shared" ref="H106" si="10">E106-G106</f>
        <v>-16.040120000000002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1677.66949</v>
      </c>
      <c r="G107" s="76">
        <f t="shared" si="12"/>
        <v>51610.313499999997</v>
      </c>
      <c r="H107" s="76">
        <f t="shared" si="12"/>
        <v>24013.686499999996</v>
      </c>
      <c r="I107" s="76">
        <f t="shared" si="12"/>
        <v>57905.27564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353.37194999999997</v>
      </c>
      <c r="G128" s="11">
        <f t="shared" si="13"/>
        <v>37973.713809999994</v>
      </c>
      <c r="H128" s="11">
        <f t="shared" si="13"/>
        <v>34333.286190000006</v>
      </c>
      <c r="I128" s="11">
        <f t="shared" si="13"/>
        <v>36079.865790000003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321.6726</f>
        <v>321.67259999999999</v>
      </c>
      <c r="G129" s="23">
        <f>33644.13976</f>
        <v>33644.139759999998</v>
      </c>
      <c r="H129" s="23">
        <f>E129-G129</f>
        <v>23917.860240000002</v>
      </c>
      <c r="I129" s="23">
        <f>31431.80396</f>
        <v>31431.803960000001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31.69935</f>
        <v>31.699349999999999</v>
      </c>
      <c r="G130" s="23">
        <f>4264.1239</f>
        <v>4264.1238999999996</v>
      </c>
      <c r="H130" s="23">
        <f>E130-G130</f>
        <v>9980.8761000000013</v>
      </c>
      <c r="I130" s="23">
        <f>4532.75558</f>
        <v>4532.75558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901.60664</f>
        <v>901.60663999999997</v>
      </c>
      <c r="G132" s="95">
        <f>7255.74716+1733.242675</f>
        <v>8988.9898350000003</v>
      </c>
      <c r="H132" s="95">
        <f>E132-G132</f>
        <v>43507.010165</v>
      </c>
      <c r="I132" s="95">
        <f>11870.10113</f>
        <v>11870.101129999999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932.23525000000006</v>
      </c>
      <c r="G133" s="94">
        <f t="shared" ref="G133" si="14">G134+G139+G142</f>
        <v>45446.764615</v>
      </c>
      <c r="H133" s="94">
        <f>H134+H139+H142</f>
        <v>34718.235385</v>
      </c>
      <c r="I133" s="94">
        <f>I134+I139+I142</f>
        <v>45259.061449999994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488.08042</v>
      </c>
      <c r="G134" s="125">
        <f>G135+G136+G138+G137</f>
        <v>33449.979745000004</v>
      </c>
      <c r="H134" s="125">
        <f>H135+H136+H137+H138</f>
        <v>25629.020254999999</v>
      </c>
      <c r="I134" s="125">
        <f>I135+I136+I137+I138</f>
        <v>35726.640979999996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52.01425</f>
        <v>52.014249999999997</v>
      </c>
      <c r="G135" s="127">
        <v>6461.9565899999998</v>
      </c>
      <c r="H135" s="127">
        <f>E135-G135</f>
        <v>11312.04341</v>
      </c>
      <c r="I135" s="127">
        <f>5737.43752</f>
        <v>5737.4375200000004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34.53217</f>
        <v>34.532170000000001</v>
      </c>
      <c r="G136" s="127">
        <v>10235.091565000001</v>
      </c>
      <c r="H136" s="127">
        <f>E136-G136</f>
        <v>4703.9084349999994</v>
      </c>
      <c r="I136" s="127">
        <f>10059.14987</f>
        <v>10059.149869999999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318.73675</f>
        <v>318.73674999999997</v>
      </c>
      <c r="G137" s="127">
        <v>8920.7064900000005</v>
      </c>
      <c r="H137" s="127">
        <f>E137-G137</f>
        <v>4130.2935099999995</v>
      </c>
      <c r="I137" s="127">
        <f>9663.57247</f>
        <v>9663.5724699999992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82.79725</f>
        <v>82.797250000000005</v>
      </c>
      <c r="G138" s="127">
        <v>7832.2251000000006</v>
      </c>
      <c r="H138" s="127">
        <f>E138-G138</f>
        <v>5482.7748999999994</v>
      </c>
      <c r="I138" s="127">
        <f>10266.48112</f>
        <v>10266.48112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358.08238</v>
      </c>
      <c r="G139" s="132">
        <f>SUM(G140:G141)</f>
        <v>8662.19067</v>
      </c>
      <c r="H139" s="132">
        <f>H140+H141</f>
        <v>267.80933000000044</v>
      </c>
      <c r="I139" s="132">
        <f>SUM(I140:I141)</f>
        <v>6177.7198799999996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231.17807</f>
        <v>231.17806999999999</v>
      </c>
      <c r="G140" s="127">
        <f>8285.14705</f>
        <v>8285.1470499999996</v>
      </c>
      <c r="H140" s="127">
        <f t="shared" ref="H140:H148" si="15">E140-G140</f>
        <v>144.85295000000042</v>
      </c>
      <c r="I140" s="127">
        <f>6049.76602</f>
        <v>6049.76602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126.90431</f>
        <v>126.90431</v>
      </c>
      <c r="G141" s="127">
        <f>377.04362</f>
        <v>377.04361999999998</v>
      </c>
      <c r="H141" s="127">
        <f t="shared" si="15"/>
        <v>122.95638000000002</v>
      </c>
      <c r="I141" s="127">
        <f>127.95386</f>
        <v>127.95386000000001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86.07245</f>
        <v>86.072450000000003</v>
      </c>
      <c r="G142" s="75">
        <f>3334.5942</f>
        <v>3334.5942</v>
      </c>
      <c r="H142" s="75">
        <f t="shared" si="15"/>
        <v>8821.4058000000005</v>
      </c>
      <c r="I142" s="75">
        <f>3354.70059</f>
        <v>3354.7005899999999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27.18</f>
        <v>27.18</v>
      </c>
      <c r="G144" s="98">
        <f>109.388</f>
        <v>109.38800000000001</v>
      </c>
      <c r="H144" s="98">
        <f t="shared" si="15"/>
        <v>140.61199999999999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7.69555</f>
        <v>7.6955499999999999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</f>
        <v>0</v>
      </c>
      <c r="G147" s="98">
        <f>38.14073</f>
        <v>38.140729999999998</v>
      </c>
      <c r="H147" s="139">
        <f t="shared" si="15"/>
        <v>237.85927000000001</v>
      </c>
      <c r="I147" s="98">
        <f>26.37763</f>
        <v>26.37763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109.17109</f>
        <v>109.17109000000001</v>
      </c>
      <c r="H148" s="139">
        <f t="shared" si="15"/>
        <v>-109.17109000000001</v>
      </c>
      <c r="I148" s="139">
        <f>91.08593</f>
        <v>91.085930000000005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2222.0893899999996</v>
      </c>
      <c r="G150" s="76">
        <f>G128+G132+G133+G143+G144+G145+G146+G147+G148</f>
        <v>94681.88063</v>
      </c>
      <c r="H150" s="76">
        <f>H128+H132+H133+H143+H144+H145+H146+H147+H148</f>
        <v>112958.11937</v>
      </c>
      <c r="I150" s="76">
        <f>I128+I132+I133+I143+I144+I145+I146+I147+I148</f>
        <v>95619.433930000014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44.93967</f>
        <v>44.93967</v>
      </c>
      <c r="F175" s="275">
        <f>468.65318</f>
        <v>468.65318000000002</v>
      </c>
      <c r="G175" s="43">
        <f>D175-F175-F176</f>
        <v>2628.8881799999999</v>
      </c>
      <c r="H175" s="275">
        <f>850.80249</f>
        <v>850.80249000000003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132.25758</f>
        <v>132.25757999999999</v>
      </c>
      <c r="F176" s="152">
        <f>1125.45864</f>
        <v>1125.4586400000001</v>
      </c>
      <c r="G176" s="216"/>
      <c r="H176" s="152">
        <f>604.18066</f>
        <v>604.18065999999999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8.471</f>
        <v>8.4710000000000001</v>
      </c>
      <c r="F177" s="172">
        <f>75.68438</f>
        <v>75.684380000000004</v>
      </c>
      <c r="G177" s="172">
        <f>D177-F177</f>
        <v>124.31562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2936.92616</v>
      </c>
      <c r="F178" s="181">
        <f>F179+F180+F181</f>
        <v>3061.7090900000003</v>
      </c>
      <c r="G178" s="181">
        <f>D178-F178</f>
        <v>3272.2909099999997</v>
      </c>
      <c r="H178" s="181">
        <f>H179+H180+H181</f>
        <v>3352.7373299999999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1390.06116</f>
        <v>1390.06116</v>
      </c>
      <c r="F179" s="127">
        <f>1443.83867</f>
        <v>1443.8386700000001</v>
      </c>
      <c r="G179" s="127"/>
      <c r="H179" s="127">
        <f>1505.49427</f>
        <v>1505.4942699999999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916.03692</f>
        <v>916.03692000000001</v>
      </c>
      <c r="F180" s="127">
        <f>946.5866</f>
        <v>946.58659999999998</v>
      </c>
      <c r="G180" s="127"/>
      <c r="H180" s="127">
        <f>1116.19874</f>
        <v>1116.19874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630.82808</f>
        <v>630.82808</v>
      </c>
      <c r="F181" s="192">
        <f>671.28382</f>
        <v>671.28381999999999</v>
      </c>
      <c r="G181" s="192"/>
      <c r="H181" s="192">
        <f>731.04432</f>
        <v>731.04431999999997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3122.5944100000002</v>
      </c>
      <c r="F184" s="194">
        <f>F175+F176+F177+F178+F182+F183</f>
        <v>4731.5052900000001</v>
      </c>
      <c r="G184" s="194">
        <f>D184-F184</f>
        <v>6091.4947099999999</v>
      </c>
      <c r="H184" s="194">
        <f>H175+H176+H177+H178+H182+H183</f>
        <v>4863.1305000000002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2571.305</f>
        <v>2571.3049999999998</v>
      </c>
      <c r="F204" s="124">
        <f>23560.03462</f>
        <v>23560.034619999999</v>
      </c>
      <c r="G204" s="124">
        <f>D204-F204</f>
        <v>22721.965380000001</v>
      </c>
      <c r="H204" s="124">
        <f>24722.05461</f>
        <v>24722.054609999999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1.00465</f>
        <v>1.00465</v>
      </c>
      <c r="F205" s="124">
        <f>24.18408</f>
        <v>24.184080000000002</v>
      </c>
      <c r="G205" s="124">
        <f>D205-F205</f>
        <v>75.815920000000006</v>
      </c>
      <c r="H205" s="124">
        <f>5.45837</f>
        <v>5.4583700000000004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2572.3096499999997</v>
      </c>
      <c r="F207" s="190">
        <f>SUM(F204:F206)</f>
        <v>23584.218699999998</v>
      </c>
      <c r="G207" s="190">
        <f>D207-F207</f>
        <v>22833.781300000002</v>
      </c>
      <c r="H207" s="190">
        <f>SUM(H204:H206)</f>
        <v>24727.51298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1.8080400000000001</v>
      </c>
      <c r="F249" s="75">
        <f>F250+F251</f>
        <v>2916.2865000000002</v>
      </c>
      <c r="G249" s="75">
        <f>D249-F249</f>
        <v>1070.7134999999998</v>
      </c>
      <c r="H249" s="75">
        <f>H250+H251</f>
        <v>1852.9252199999999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0.62258</f>
        <v>0.62258000000000002</v>
      </c>
      <c r="F250" s="75">
        <f>2436.56503</f>
        <v>2436.5650300000002</v>
      </c>
      <c r="G250" s="75"/>
      <c r="H250" s="75">
        <f>1406.71365</f>
        <v>1406.7136499999999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1.18546</f>
        <v>1.18546</v>
      </c>
      <c r="F251" s="124">
        <f>479.72147</f>
        <v>479.72147000000001</v>
      </c>
      <c r="G251" s="168"/>
      <c r="H251" s="124">
        <f>446.21157</f>
        <v>446.21156999999999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119.87406</f>
        <v>119.87406</v>
      </c>
      <c r="F252" s="75">
        <f>4300.84975</f>
        <v>4300.8497500000003</v>
      </c>
      <c r="G252" s="75">
        <f>D252-F252</f>
        <v>312.15024999999969</v>
      </c>
      <c r="H252" s="75">
        <f>3911.68319</f>
        <v>3911.6831900000002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121.68210000000001</v>
      </c>
      <c r="F253" s="190">
        <f>SUM(F249,F252)</f>
        <v>7217.1362500000005</v>
      </c>
      <c r="G253" s="190">
        <f>D253-F253</f>
        <v>1382.8637499999995</v>
      </c>
      <c r="H253" s="190">
        <f>SUM(H249,H252)</f>
        <v>5764.6084099999998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1.8665499999999999</v>
      </c>
      <c r="F295" s="75">
        <f>F296+F297</f>
        <v>3311.8565899999999</v>
      </c>
      <c r="G295" s="75">
        <f>D295-F295</f>
        <v>1778.1434100000001</v>
      </c>
      <c r="H295" s="75">
        <f>H296+H297</f>
        <v>1916.52368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1.02283</f>
        <v>1.0228299999999999</v>
      </c>
      <c r="F296" s="75">
        <f>2901.21006</f>
        <v>2901.2100599999999</v>
      </c>
      <c r="G296" s="75"/>
      <c r="H296" s="75">
        <f>1528.69453</f>
        <v>1528.69453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0.84372</f>
        <v>0.84372000000000003</v>
      </c>
      <c r="F297" s="124">
        <f>410.64653</f>
        <v>410.64652999999998</v>
      </c>
      <c r="G297" s="168"/>
      <c r="H297" s="124">
        <f>387.82915</f>
        <v>387.82915000000003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49.16318</f>
        <v>49.163179999999997</v>
      </c>
      <c r="F298" s="75">
        <f>1879.70086</f>
        <v>1879.7008599999999</v>
      </c>
      <c r="G298" s="75">
        <f>D298-F298</f>
        <v>1101.2991400000001</v>
      </c>
      <c r="H298" s="75">
        <f>1915.14782</f>
        <v>1915.1478199999999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51.029729999999994</v>
      </c>
      <c r="F299" s="190">
        <f>SUM(F295,F298)</f>
        <v>5191.5574500000002</v>
      </c>
      <c r="G299" s="190">
        <f>D299-F299</f>
        <v>2879.4425499999998</v>
      </c>
      <c r="H299" s="190">
        <f>SUM(H295,H298)</f>
        <v>3831.6714999999999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35.2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7.41105</f>
        <v>7.4110500000000004</v>
      </c>
      <c r="F350" s="124">
        <f>301.88231</f>
        <v>301.88231000000002</v>
      </c>
      <c r="G350" s="124">
        <f>D350-F350</f>
        <v>498.11768999999998</v>
      </c>
      <c r="H350" s="124">
        <f>224.45281</f>
        <v>224.45281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86.50622</f>
        <v>86.506219999999999</v>
      </c>
      <c r="F351" s="124">
        <f>639.97019</f>
        <v>639.97019</v>
      </c>
      <c r="G351" s="124">
        <f>D351-F351</f>
        <v>2401.02981</v>
      </c>
      <c r="H351" s="124">
        <f>668.66272</f>
        <v>668.66272000000004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2.1</f>
        <v>2.1</v>
      </c>
      <c r="F352" s="168">
        <f>5.70962</f>
        <v>5.7096200000000001</v>
      </c>
      <c r="G352" s="124">
        <f>D352-F352</f>
        <v>4.2903799999999999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1.64224</f>
        <v>1.6422399999999999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96.017269999999996</v>
      </c>
      <c r="F354" s="190">
        <f>SUM(F350:F353)</f>
        <v>947.65311999999994</v>
      </c>
      <c r="G354" s="190">
        <f>D354-F354</f>
        <v>2903.3468800000001</v>
      </c>
      <c r="H354" s="190">
        <f>H350+H351+H352+H353</f>
        <v>895.3929700000001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58.072800000000001</v>
      </c>
      <c r="G380" s="252">
        <f t="shared" si="17"/>
        <v>6530.3319100000008</v>
      </c>
      <c r="H380" s="252">
        <f>H384+H383+H382+H381</f>
        <v>16438.668089999999</v>
      </c>
      <c r="I380" s="252">
        <f t="shared" si="17"/>
        <v>4693.5448400000005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4018.54691</f>
        <v>4018.54691</v>
      </c>
      <c r="H381" s="256">
        <f t="shared" ref="H381:H385" si="18">E381-G381</f>
        <v>9171.4530899999991</v>
      </c>
      <c r="I381" s="256">
        <f>2008.18667</f>
        <v>2008.18667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764.7831</f>
        <v>764.78309999999999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19.578</f>
        <v>19.577999999999999</v>
      </c>
      <c r="G383" s="256">
        <f>1120.10749</f>
        <v>1120.1074900000001</v>
      </c>
      <c r="H383" s="256">
        <f t="shared" si="18"/>
        <v>362.8925099999999</v>
      </c>
      <c r="I383" s="256">
        <f>1200.56677</f>
        <v>1200.5667699999999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38.4948</f>
        <v>38.494799999999998</v>
      </c>
      <c r="G384" s="256">
        <f>559.63606</f>
        <v>559.63606000000004</v>
      </c>
      <c r="H384" s="256">
        <f t="shared" si="18"/>
        <v>4303.3639400000002</v>
      </c>
      <c r="I384" s="256">
        <f>720.0083</f>
        <v>720.00829999999996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8.50594</f>
        <v>8.5059400000000007</v>
      </c>
      <c r="G385" s="267">
        <f>2062.65142</f>
        <v>2062.6514200000001</v>
      </c>
      <c r="H385" s="267">
        <f t="shared" si="18"/>
        <v>3437.3485799999999</v>
      </c>
      <c r="I385" s="267">
        <f>4539.3061</f>
        <v>4539.3060999999998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106.91678</v>
      </c>
      <c r="G386" s="268">
        <f>G388+G387</f>
        <v>1546.7662</v>
      </c>
      <c r="H386" s="268">
        <f>E386-G386</f>
        <v>6453.2338</v>
      </c>
      <c r="I386" s="268">
        <f>I388+I387</f>
        <v>1816.00701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525.57129</f>
        <v>525.57128999999998</v>
      </c>
      <c r="H387" s="256"/>
      <c r="I387" s="256">
        <f>750.55719</f>
        <v>750.55718999999999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106.91678</f>
        <v>106.91678</v>
      </c>
      <c r="G388" s="277">
        <f>1021.19491</f>
        <v>1021.19491</v>
      </c>
      <c r="H388" s="277"/>
      <c r="I388" s="277">
        <f>1065.44982</f>
        <v>1065.44982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6.01724</f>
        <v>6.0172400000000001</v>
      </c>
      <c r="G390" s="267">
        <f>13.45996</f>
        <v>13.459960000000001</v>
      </c>
      <c r="H390" s="267">
        <f>E390-G390</f>
        <v>-13.459960000000001</v>
      </c>
      <c r="I390" s="267">
        <f>29.33348</f>
        <v>29.333480000000002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179.51275999999999</v>
      </c>
      <c r="G391" s="286">
        <f t="shared" si="19"/>
        <v>10153.235890000002</v>
      </c>
      <c r="H391" s="286">
        <f>H380+H385+H386+H389+H390</f>
        <v>26328.76411</v>
      </c>
      <c r="I391" s="286">
        <f t="shared" si="19"/>
        <v>11078.256529999999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67.250399999999999</v>
      </c>
      <c r="F419" s="36">
        <f>SUM(F420:F421)</f>
        <v>1106.8284100000001</v>
      </c>
      <c r="G419" s="85">
        <f>D419-F419</f>
        <v>128.17158999999992</v>
      </c>
      <c r="H419" s="36">
        <f>SUM(H420:H421)</f>
        <v>1547.1645700000001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59.7185</f>
        <v>59.718499999999999</v>
      </c>
      <c r="F420" s="30">
        <f>800.97364</f>
        <v>800.97364000000005</v>
      </c>
      <c r="G420" s="97"/>
      <c r="H420" s="30">
        <f>1126.29968</f>
        <v>1126.2996800000001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7.5319</f>
        <v>7.5319000000000003</v>
      </c>
      <c r="F421" s="30">
        <f>305.85477</f>
        <v>305.85476999999997</v>
      </c>
      <c r="G421" s="108"/>
      <c r="H421" s="30">
        <f>420.86489</f>
        <v>420.86489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67.250399999999999</v>
      </c>
      <c r="F423" s="40">
        <f>F413+F416+F419+F422</f>
        <v>3317.2286199999999</v>
      </c>
      <c r="G423" s="41"/>
      <c r="H423" s="40">
        <f>H413+H416+H419+H422</f>
        <v>5279.2082300000002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23&amp;R10.06.2024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2024-06-10T06:57:55Z</dcterms:modified>
</cp:coreProperties>
</file>