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2022\22-43\Inndata\"/>
    </mc:Choice>
  </mc:AlternateContent>
  <xr:revisionPtr revIDLastSave="0" documentId="13_ncr:1_{16DAF14C-B820-4D80-B541-9C0E51376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30_2022" sheetId="1" r:id="rId1"/>
  </sheets>
  <definedNames>
    <definedName name="Z_14D440E4_F18A_4F78_9989_38C1B133222D_.wvu.Cols" localSheetId="0" hidden="1">UKE_30_2022!#REF!</definedName>
    <definedName name="Z_14D440E4_F18A_4F78_9989_38C1B133222D_.wvu.PrintArea" localSheetId="0" hidden="1">UKE_30_2022!$B$1:$J$359</definedName>
    <definedName name="Z_14D440E4_F18A_4F78_9989_38C1B133222D_.wvu.Rows" localSheetId="0" hidden="1">UKE_30_2022!#REF!,UKE_30_2022!#REF!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1" l="1"/>
  <c r="H164" i="1"/>
  <c r="G160" i="1"/>
  <c r="G159" i="1" s="1"/>
  <c r="H161" i="1"/>
  <c r="G35" i="1"/>
  <c r="H35" i="1" s="1"/>
  <c r="I35" i="1"/>
  <c r="I31" i="1"/>
  <c r="I30" i="1"/>
  <c r="I29" i="1"/>
  <c r="I28" i="1"/>
  <c r="G31" i="1"/>
  <c r="H31" i="1" s="1"/>
  <c r="G30" i="1"/>
  <c r="H30" i="1" s="1"/>
  <c r="G29" i="1"/>
  <c r="G28" i="1"/>
  <c r="H28" i="1" s="1"/>
  <c r="F36" i="1"/>
  <c r="G39" i="1"/>
  <c r="H39" i="1" s="1"/>
  <c r="F56" i="1"/>
  <c r="G56" i="1" s="1"/>
  <c r="H56" i="1"/>
  <c r="I32" i="1" s="1"/>
  <c r="I27" i="1" s="1"/>
  <c r="D357" i="1"/>
  <c r="H355" i="1"/>
  <c r="F355" i="1"/>
  <c r="E355" i="1"/>
  <c r="E353" i="1" s="1"/>
  <c r="H354" i="1"/>
  <c r="H353" i="1" s="1"/>
  <c r="F354" i="1"/>
  <c r="E354" i="1"/>
  <c r="F353" i="1"/>
  <c r="G353" i="1" s="1"/>
  <c r="H352" i="1"/>
  <c r="F352" i="1"/>
  <c r="E352" i="1"/>
  <c r="E350" i="1" s="1"/>
  <c r="H351" i="1"/>
  <c r="F351" i="1"/>
  <c r="E351" i="1"/>
  <c r="H350" i="1"/>
  <c r="F350" i="1"/>
  <c r="G350" i="1" s="1"/>
  <c r="H349" i="1"/>
  <c r="H347" i="1" s="1"/>
  <c r="H357" i="1" s="1"/>
  <c r="F349" i="1"/>
  <c r="E349" i="1"/>
  <c r="E347" i="1" s="1"/>
  <c r="E357" i="1" s="1"/>
  <c r="H348" i="1"/>
  <c r="F348" i="1"/>
  <c r="F347" i="1" s="1"/>
  <c r="E348" i="1"/>
  <c r="E325" i="1"/>
  <c r="I324" i="1"/>
  <c r="G324" i="1"/>
  <c r="H324" i="1" s="1"/>
  <c r="F324" i="1"/>
  <c r="I323" i="1"/>
  <c r="G323" i="1"/>
  <c r="H323" i="1" s="1"/>
  <c r="F323" i="1"/>
  <c r="I322" i="1"/>
  <c r="I320" i="1" s="1"/>
  <c r="G322" i="1"/>
  <c r="F322" i="1"/>
  <c r="F320" i="1" s="1"/>
  <c r="I321" i="1"/>
  <c r="G321" i="1"/>
  <c r="G320" i="1" s="1"/>
  <c r="H320" i="1" s="1"/>
  <c r="F321" i="1"/>
  <c r="I319" i="1"/>
  <c r="G319" i="1"/>
  <c r="H319" i="1" s="1"/>
  <c r="F319" i="1"/>
  <c r="I318" i="1"/>
  <c r="G318" i="1"/>
  <c r="H318" i="1" s="1"/>
  <c r="F318" i="1"/>
  <c r="I317" i="1"/>
  <c r="G317" i="1"/>
  <c r="H317" i="1" s="1"/>
  <c r="F317" i="1"/>
  <c r="F314" i="1" s="1"/>
  <c r="I316" i="1"/>
  <c r="G316" i="1"/>
  <c r="H316" i="1" s="1"/>
  <c r="F316" i="1"/>
  <c r="I315" i="1"/>
  <c r="G315" i="1"/>
  <c r="H315" i="1" s="1"/>
  <c r="F315" i="1"/>
  <c r="I314" i="1"/>
  <c r="I325" i="1" s="1"/>
  <c r="G314" i="1"/>
  <c r="E314" i="1"/>
  <c r="D314" i="1"/>
  <c r="D325" i="1" s="1"/>
  <c r="H306" i="1"/>
  <c r="F306" i="1"/>
  <c r="D288" i="1"/>
  <c r="H287" i="1"/>
  <c r="F287" i="1"/>
  <c r="E287" i="1"/>
  <c r="H286" i="1"/>
  <c r="H288" i="1" s="1"/>
  <c r="F286" i="1"/>
  <c r="G286" i="1" s="1"/>
  <c r="E286" i="1"/>
  <c r="H285" i="1"/>
  <c r="F285" i="1"/>
  <c r="E285" i="1"/>
  <c r="H284" i="1"/>
  <c r="G284" i="1"/>
  <c r="F284" i="1"/>
  <c r="E284" i="1"/>
  <c r="E288" i="1" s="1"/>
  <c r="D277" i="1"/>
  <c r="F233" i="1"/>
  <c r="D233" i="1"/>
  <c r="G233" i="1" s="1"/>
  <c r="G232" i="1"/>
  <c r="H231" i="1"/>
  <c r="F231" i="1"/>
  <c r="G231" i="1" s="1"/>
  <c r="E231" i="1"/>
  <c r="H230" i="1"/>
  <c r="H233" i="1" s="1"/>
  <c r="F230" i="1"/>
  <c r="G230" i="1" s="1"/>
  <c r="E230" i="1"/>
  <c r="E233" i="1" s="1"/>
  <c r="D210" i="1"/>
  <c r="G210" i="1" s="1"/>
  <c r="H208" i="1"/>
  <c r="G208" i="1"/>
  <c r="F208" i="1"/>
  <c r="E208" i="1"/>
  <c r="H207" i="1"/>
  <c r="F207" i="1"/>
  <c r="E207" i="1"/>
  <c r="H206" i="1"/>
  <c r="F206" i="1"/>
  <c r="E206" i="1"/>
  <c r="E204" i="1" s="1"/>
  <c r="H205" i="1"/>
  <c r="H204" i="1" s="1"/>
  <c r="H210" i="1" s="1"/>
  <c r="F205" i="1"/>
  <c r="F204" i="1" s="1"/>
  <c r="G204" i="1" s="1"/>
  <c r="E205" i="1"/>
  <c r="H203" i="1"/>
  <c r="F203" i="1"/>
  <c r="G203" i="1" s="1"/>
  <c r="E203" i="1"/>
  <c r="H202" i="1"/>
  <c r="F202" i="1"/>
  <c r="E202" i="1"/>
  <c r="H201" i="1"/>
  <c r="G201" i="1"/>
  <c r="F201" i="1"/>
  <c r="F210" i="1" s="1"/>
  <c r="E201" i="1"/>
  <c r="E210" i="1" s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I159" i="1" s="1"/>
  <c r="G168" i="1"/>
  <c r="H168" i="1" s="1"/>
  <c r="F168" i="1"/>
  <c r="I167" i="1"/>
  <c r="G167" i="1"/>
  <c r="H167" i="1" s="1"/>
  <c r="H165" i="1" s="1"/>
  <c r="H166" i="1"/>
  <c r="E165" i="1"/>
  <c r="E159" i="1" s="1"/>
  <c r="D165" i="1"/>
  <c r="D159" i="1" s="1"/>
  <c r="D176" i="1" s="1"/>
  <c r="I164" i="1"/>
  <c r="F164" i="1"/>
  <c r="I163" i="1"/>
  <c r="H163" i="1"/>
  <c r="F163" i="1"/>
  <c r="I162" i="1"/>
  <c r="H162" i="1"/>
  <c r="F162" i="1"/>
  <c r="I161" i="1"/>
  <c r="F161" i="1"/>
  <c r="F160" i="1" s="1"/>
  <c r="F159" i="1" s="1"/>
  <c r="I160" i="1"/>
  <c r="E160" i="1"/>
  <c r="D160" i="1"/>
  <c r="I158" i="1"/>
  <c r="F158" i="1"/>
  <c r="H157" i="1"/>
  <c r="I156" i="1"/>
  <c r="G156" i="1"/>
  <c r="H156" i="1" s="1"/>
  <c r="F156" i="1"/>
  <c r="I155" i="1"/>
  <c r="I154" i="1" s="1"/>
  <c r="I176" i="1" s="1"/>
  <c r="G155" i="1"/>
  <c r="H155" i="1" s="1"/>
  <c r="H154" i="1" s="1"/>
  <c r="F155" i="1"/>
  <c r="F154" i="1" s="1"/>
  <c r="E154" i="1"/>
  <c r="E176" i="1" s="1"/>
  <c r="D154" i="1"/>
  <c r="C152" i="1"/>
  <c r="H132" i="1"/>
  <c r="H131" i="1"/>
  <c r="H129" i="1"/>
  <c r="F129" i="1"/>
  <c r="I128" i="1"/>
  <c r="H128" i="1"/>
  <c r="G128" i="1"/>
  <c r="F128" i="1"/>
  <c r="I127" i="1"/>
  <c r="G127" i="1"/>
  <c r="H127" i="1" s="1"/>
  <c r="F127" i="1"/>
  <c r="I126" i="1"/>
  <c r="H126" i="1"/>
  <c r="G126" i="1"/>
  <c r="F126" i="1"/>
  <c r="I125" i="1"/>
  <c r="G125" i="1"/>
  <c r="H125" i="1" s="1"/>
  <c r="F125" i="1"/>
  <c r="I124" i="1"/>
  <c r="H124" i="1"/>
  <c r="G124" i="1"/>
  <c r="F124" i="1"/>
  <c r="I123" i="1"/>
  <c r="G123" i="1"/>
  <c r="H123" i="1" s="1"/>
  <c r="F123" i="1"/>
  <c r="I122" i="1"/>
  <c r="H122" i="1"/>
  <c r="H121" i="1" s="1"/>
  <c r="H120" i="1" s="1"/>
  <c r="G122" i="1"/>
  <c r="G121" i="1" s="1"/>
  <c r="G120" i="1" s="1"/>
  <c r="F122" i="1"/>
  <c r="F121" i="1" s="1"/>
  <c r="F120" i="1" s="1"/>
  <c r="I121" i="1"/>
  <c r="E121" i="1"/>
  <c r="D121" i="1"/>
  <c r="D120" i="1" s="1"/>
  <c r="D133" i="1" s="1"/>
  <c r="I120" i="1"/>
  <c r="E120" i="1"/>
  <c r="I119" i="1"/>
  <c r="H119" i="1"/>
  <c r="G119" i="1"/>
  <c r="F119" i="1"/>
  <c r="F117" i="1" s="1"/>
  <c r="F133" i="1" s="1"/>
  <c r="I118" i="1"/>
  <c r="I117" i="1" s="1"/>
  <c r="I133" i="1" s="1"/>
  <c r="G118" i="1"/>
  <c r="H118" i="1" s="1"/>
  <c r="H117" i="1" s="1"/>
  <c r="F118" i="1"/>
  <c r="G117" i="1"/>
  <c r="E117" i="1"/>
  <c r="E133" i="1" s="1"/>
  <c r="D117" i="1"/>
  <c r="C114" i="1"/>
  <c r="H110" i="1"/>
  <c r="F110" i="1"/>
  <c r="D110" i="1"/>
  <c r="G61" i="1"/>
  <c r="E56" i="1"/>
  <c r="F32" i="1" s="1"/>
  <c r="H44" i="1"/>
  <c r="H43" i="1"/>
  <c r="H42" i="1"/>
  <c r="I41" i="1"/>
  <c r="G41" i="1"/>
  <c r="F41" i="1"/>
  <c r="H40" i="1"/>
  <c r="F40" i="1"/>
  <c r="I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5" i="1"/>
  <c r="E34" i="1"/>
  <c r="D34" i="1"/>
  <c r="D26" i="1" s="1"/>
  <c r="I33" i="1"/>
  <c r="H33" i="1"/>
  <c r="G33" i="1"/>
  <c r="F33" i="1"/>
  <c r="F31" i="1"/>
  <c r="F30" i="1"/>
  <c r="H29" i="1"/>
  <c r="F29" i="1"/>
  <c r="F28" i="1"/>
  <c r="E27" i="1"/>
  <c r="E26" i="1" s="1"/>
  <c r="D27" i="1"/>
  <c r="I25" i="1"/>
  <c r="H25" i="1"/>
  <c r="H23" i="1" s="1"/>
  <c r="G25" i="1"/>
  <c r="F25" i="1"/>
  <c r="I24" i="1"/>
  <c r="I23" i="1" s="1"/>
  <c r="H24" i="1"/>
  <c r="G24" i="1"/>
  <c r="G23" i="1" s="1"/>
  <c r="F24" i="1"/>
  <c r="F23" i="1"/>
  <c r="E23" i="1"/>
  <c r="E45" i="1" s="1"/>
  <c r="D23" i="1"/>
  <c r="H16" i="1"/>
  <c r="F16" i="1"/>
  <c r="D16" i="1"/>
  <c r="H160" i="1" l="1"/>
  <c r="H159" i="1" s="1"/>
  <c r="H176" i="1" s="1"/>
  <c r="I34" i="1"/>
  <c r="I26" i="1" s="1"/>
  <c r="I45" i="1" s="1"/>
  <c r="F27" i="1"/>
  <c r="F34" i="1"/>
  <c r="F26" i="1" s="1"/>
  <c r="F45" i="1" s="1"/>
  <c r="G34" i="1"/>
  <c r="H34" i="1" s="1"/>
  <c r="G62" i="1"/>
  <c r="H314" i="1"/>
  <c r="H325" i="1" s="1"/>
  <c r="G133" i="1"/>
  <c r="G347" i="1"/>
  <c r="G357" i="1" s="1"/>
  <c r="F357" i="1"/>
  <c r="F176" i="1"/>
  <c r="H133" i="1"/>
  <c r="G325" i="1"/>
  <c r="F325" i="1"/>
  <c r="D45" i="1"/>
  <c r="G32" i="1"/>
  <c r="G154" i="1"/>
  <c r="G176" i="1" s="1"/>
  <c r="F288" i="1"/>
  <c r="G288" i="1" s="1"/>
  <c r="G27" i="1" l="1"/>
  <c r="G26" i="1" s="1"/>
  <c r="G45" i="1" s="1"/>
  <c r="H32" i="1"/>
  <c r="H27" i="1" s="1"/>
  <c r="H26" i="1" s="1"/>
  <c r="H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<sst xmlns="http://schemas.openxmlformats.org/spreadsheetml/2006/main" count="333" uniqueCount="150">
  <si>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</si>
  <si>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</si>
  <si>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</si>
  <si>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</si>
  <si>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</si>
  <si>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</si>
  <si>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</si>
  <si>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</si>
  <si>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</si>
  <si>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</si>
  <si>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</si>
  <si>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</si>
  <si>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</si>
  <si>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</si>
  <si>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</si>
  <si>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</si>
  <si>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</si>
  <si>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</si>
  <si>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</si>
  <si>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</si>
  <si>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</si>
  <si>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</si>
  <si>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</si>
  <si>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</si>
  <si>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</si>
  <si>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</si>
  <si>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</si>
  <si>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</si>
  <si>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</si>
  <si>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</si>
  <si>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</si>
  <si>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</si>
  <si>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</si>
  <si>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</si>
  <si>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</si>
  <si>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</si>
  <si>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</si>
  <si>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</si>
  <si>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</si>
  <si>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</si>
  <si>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</si>
  <si>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</si>
  <si>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</si>
  <si>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</si>
  <si>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</si>
  <si>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</si>
  <si>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</si>
  <si>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</si>
  <si>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</si>
  <si>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</si>
  <si>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</si>
  <si>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</si>
  <si>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</si>
  <si>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</si>
  <si>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</si>
  <si>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</si>
  <si>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</si>
  <si>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</si>
  <si>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</si>
  <si>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</si>
  <si>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</si>
  <si>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</si>
  <si>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</si>
  <si>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</si>
  <si>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</si>
  <si>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</si>
  <si>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</si>
  <si>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</si>
  <si>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</si>
  <si>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</si>
  <si>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</si>
  <si>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</si>
  <si>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</si>
  <si>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</si>
  <si>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</si>
  <si>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</si>
  <si>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</si>
  <si>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</si>
  <si>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</si>
  <si>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</si>
  <si>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</si>
  <si>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</si>
  <si>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</si>
  <si>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</si>
  <si>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</si>
  <si>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</si>
  <si>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</si>
  <si>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</si>
  <si>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</si>
  <si>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</si>
  <si>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</si>
  <si>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</si>
  <si>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</si>
  <si>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</si>
  <si>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</si>
  <si>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</si>
  <si>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</si>
  <si>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</si>
  <si>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</si>
  <si>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</si>
  <si>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</si>
  <si>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</si>
  <si>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</si>
  <si>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</si>
  <si>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</si>
  <si>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</si>
  <si>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</si>
  <si>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</si>
  <si>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</si>
  <si>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</si>
  <si>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</si>
  <si>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</si>
  <si>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</si>
  <si>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</si>
  <si>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</si>
  <si>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</si>
  <si>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</si>
  <si>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</si>
  <si>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</si>
  <si>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</si>
  <si>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</si>
  <si>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</si>
  <si>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</si>
  <si>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</si>
  <si>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</si>
  <si>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</si>
  <si>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</si>
  <si>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</si>
  <si>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</si>
  <si>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</si>
  <si>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</si>
  <si>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</si>
  <si>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</si>
  <si>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</si>
  <si>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</si>
  <si>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</si>
  <si>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</si>
  <si>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</si>
  <si>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</si>
  <si>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</si>
  <si>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</si>
  <si>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</si>
  <si>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43</t>
  </si>
  <si>
    <t>FANGST T.O.M UKE 43</t>
  </si>
  <si>
    <t>RESTKVOTER UKE 43</t>
  </si>
  <si>
    <t>FANGST T.O.M UKE 43 2021</t>
  </si>
  <si>
    <r>
      <t xml:space="preserve">3 </t>
    </r>
    <r>
      <rPr>
        <sz val="9"/>
        <color indexed="8"/>
        <rFont val="Calibri"/>
        <family val="2"/>
      </rPr>
      <t>Registrert rekreasjonsfiske utgjør 788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</si>
  <si>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</si>
  <si>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494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</si>
  <si>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8 620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</si>
</sst>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zoomScaleNormal="100" zoomScaleSheetLayoutView="100" zoomScalePageLayoutView="70" workbookViewId="0">
      <selection activeCell="K18" sqref="K1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0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8" t="s">
        <v>2</v>
      </c>
      <c r="D11" s="299"/>
      <c r="E11" s="298" t="s">
        <v>3</v>
      </c>
      <c r="F11" s="299"/>
      <c r="G11" s="298" t="s">
        <v>4</v>
      </c>
      <c r="H11" s="299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1260.9974999999999</v>
      </c>
      <c r="G23" s="28">
        <f t="shared" si="0"/>
        <v>80584.582679999992</v>
      </c>
      <c r="H23" s="11">
        <f t="shared" si="0"/>
        <v>32107.41732</v>
      </c>
      <c r="I23" s="11">
        <f t="shared" si="0"/>
        <v>78186.808140000008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1255.3365</f>
        <v>1255.3364999999999</v>
      </c>
      <c r="G24" s="23">
        <f>80001.87839</f>
        <v>80001.878389999998</v>
      </c>
      <c r="H24" s="23">
        <f>E24-G24</f>
        <v>31897.121610000002</v>
      </c>
      <c r="I24" s="23">
        <f>77715.36444</f>
        <v>77715.364440000005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5.661</f>
        <v>5.6609999999999996</v>
      </c>
      <c r="G25" s="23">
        <f>582.70429</f>
        <v>582.70429000000001</v>
      </c>
      <c r="H25" s="23">
        <f>E25-G25</f>
        <v>210.29570999999999</v>
      </c>
      <c r="I25" s="23">
        <f>471.4437</f>
        <v>471.44369999999998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1324.9138599999999</v>
      </c>
      <c r="G26" s="11">
        <f t="shared" si="1"/>
        <v>217294.02972999998</v>
      </c>
      <c r="H26" s="11">
        <f t="shared" si="1"/>
        <v>40721.970270000005</v>
      </c>
      <c r="I26" s="11">
        <f t="shared" si="1"/>
        <v>226522.499041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1259.1908899999999</v>
      </c>
      <c r="G27" s="136">
        <f t="shared" si="2"/>
        <v>175475.33390999999</v>
      </c>
      <c r="H27" s="136">
        <f t="shared" si="2"/>
        <v>23446.666090000006</v>
      </c>
      <c r="I27" s="136">
        <f t="shared" si="2"/>
        <v>185438.116431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299.41084</f>
        <v>299.41084000000001</v>
      </c>
      <c r="G28" s="130">
        <f>44388.53464-F57</f>
        <v>43227.534639999998</v>
      </c>
      <c r="H28" s="130">
        <f t="shared" ref="H28:H40" si="3">E28-G28</f>
        <v>7370.465360000002</v>
      </c>
      <c r="I28" s="130">
        <f>44541.35458-H57</f>
        <v>42692.354579999999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415.38829</f>
        <v>415.38828999999998</v>
      </c>
      <c r="G29" s="130">
        <f>50438.93835-F58</f>
        <v>47649.938349999997</v>
      </c>
      <c r="H29" s="130">
        <f t="shared" si="3"/>
        <v>4443.0616500000033</v>
      </c>
      <c r="I29" s="130">
        <f>54112.31687-H58</f>
        <v>50861.316870000002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64.36285</f>
        <v>64.362849999999995</v>
      </c>
      <c r="G30" s="130">
        <f>46397.36153-F59</f>
        <v>44331.361530000002</v>
      </c>
      <c r="H30" s="130">
        <f t="shared" si="3"/>
        <v>6404.6384699999981</v>
      </c>
      <c r="I30" s="130">
        <f>48272.773729-H59</f>
        <v>44357.773729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29.02891</f>
        <v>29.02891</v>
      </c>
      <c r="G31" s="130">
        <f>34250.49939-F60</f>
        <v>33045.499389999997</v>
      </c>
      <c r="H31" s="130">
        <f t="shared" si="3"/>
        <v>149.50061000000278</v>
      </c>
      <c r="I31" s="130">
        <f>38511.671252-H60</f>
        <v>36648.671252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451</v>
      </c>
      <c r="G32" s="130">
        <f>F56</f>
        <v>7221</v>
      </c>
      <c r="H32" s="130">
        <f t="shared" si="3"/>
        <v>5079</v>
      </c>
      <c r="I32" s="130">
        <f>H56</f>
        <v>10878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0.47082</f>
        <v>0.47082000000000002</v>
      </c>
      <c r="G33" s="136">
        <f>20673.65836</f>
        <v>20673.658360000001</v>
      </c>
      <c r="H33" s="136">
        <f t="shared" si="3"/>
        <v>11061.341639999999</v>
      </c>
      <c r="I33" s="136">
        <f>22616.72585</f>
        <v>22616.725849999999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65.25215</v>
      </c>
      <c r="G34" s="136">
        <f>G35+G36</f>
        <v>21145.03746</v>
      </c>
      <c r="H34" s="136">
        <f t="shared" si="3"/>
        <v>6213.9625400000004</v>
      </c>
      <c r="I34" s="136">
        <f>I35+I36</f>
        <v>18467.656760000002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65.25215</f>
        <v>65.25215</v>
      </c>
      <c r="G35" s="136">
        <f>22828.03746-F61-F62</f>
        <v>20461.03746</v>
      </c>
      <c r="H35" s="130">
        <f t="shared" si="3"/>
        <v>5397.9625400000004</v>
      </c>
      <c r="I35" s="130">
        <f>21558.65676-H61-H62</f>
        <v>17338.656760000002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684</v>
      </c>
      <c r="H36" s="74">
        <f t="shared" si="3"/>
        <v>816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2.86375</f>
        <v>2.86375</v>
      </c>
      <c r="G38" s="102">
        <f>482.91498</f>
        <v>482.91498000000001</v>
      </c>
      <c r="H38" s="102">
        <f t="shared" si="3"/>
        <v>488.08501999999999</v>
      </c>
      <c r="I38" s="102">
        <f>514.3742</f>
        <v>514.37419999999997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2.5213</f>
        <v>2.5213000000000001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2921.50985</f>
        <v>2921.5098499999999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2591.2994099999996</v>
      </c>
      <c r="G45" s="80">
        <f t="shared" si="4"/>
        <v>307481.82934</v>
      </c>
      <c r="H45" s="80">
        <f t="shared" si="4"/>
        <v>77798.108659999969</v>
      </c>
      <c r="I45" s="80">
        <f t="shared" si="4"/>
        <v>319673.00790999999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0" t="s">
        <v>49</v>
      </c>
      <c r="D53" s="300"/>
      <c r="E53" s="300"/>
      <c r="F53" s="300"/>
      <c r="G53" s="300"/>
      <c r="H53" s="300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1">
        <v>12300</v>
      </c>
      <c r="E56" s="11">
        <f>E60+E59+E58+E57</f>
        <v>451</v>
      </c>
      <c r="F56" s="11">
        <f>F60+F59+F58+F57</f>
        <v>7221</v>
      </c>
      <c r="G56" s="301">
        <f>D56-F56</f>
        <v>5079</v>
      </c>
      <c r="H56" s="11">
        <f>H60+H59+H58+H57</f>
        <v>10878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2"/>
      <c r="E57" s="130">
        <v>165</v>
      </c>
      <c r="F57" s="130">
        <v>1161</v>
      </c>
      <c r="G57" s="302"/>
      <c r="H57" s="130">
        <v>1849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2"/>
      <c r="E58" s="130">
        <v>209</v>
      </c>
      <c r="F58" s="130">
        <v>2789</v>
      </c>
      <c r="G58" s="302"/>
      <c r="H58" s="130">
        <v>3251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2"/>
      <c r="E59" s="130">
        <v>47</v>
      </c>
      <c r="F59" s="130">
        <v>2066</v>
      </c>
      <c r="G59" s="302"/>
      <c r="H59" s="130">
        <v>3915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303"/>
      <c r="E60" s="196">
        <v>30</v>
      </c>
      <c r="F60" s="196">
        <v>1205</v>
      </c>
      <c r="G60" s="303"/>
      <c r="H60" s="196">
        <v>1863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0</v>
      </c>
      <c r="F61" s="98">
        <v>684</v>
      </c>
      <c r="G61" s="98">
        <f>D61-F61</f>
        <v>816</v>
      </c>
      <c r="H61" s="98">
        <v>1129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8" t="s">
        <v>2</v>
      </c>
      <c r="D106" s="299"/>
      <c r="E106" s="298" t="s">
        <v>3</v>
      </c>
      <c r="F106" s="304"/>
      <c r="G106" s="298" t="s">
        <v>4</v>
      </c>
      <c r="H106" s="299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56.827399999999997</v>
      </c>
      <c r="G117" s="11">
        <f t="shared" si="5"/>
        <v>36819.316510000004</v>
      </c>
      <c r="H117" s="11">
        <f t="shared" si="5"/>
        <v>-4133.3165100000015</v>
      </c>
      <c r="I117" s="11">
        <f t="shared" si="5"/>
        <v>44607.828589999997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55.6962</f>
        <v>55.696199999999997</v>
      </c>
      <c r="G118" s="23">
        <f>36083.3447</f>
        <v>36083.344700000001</v>
      </c>
      <c r="H118" s="23">
        <f>E118-G118</f>
        <v>-4180.3447000000015</v>
      </c>
      <c r="I118" s="23">
        <f>43830.67105</f>
        <v>43830.671049999997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1.1312</f>
        <v>1.1312</v>
      </c>
      <c r="G119" s="52">
        <f>735.97181</f>
        <v>735.97181</v>
      </c>
      <c r="H119" s="52">
        <f>E119-G119</f>
        <v>47.028189999999995</v>
      </c>
      <c r="I119" s="52">
        <f>777.15754</f>
        <v>777.15754000000004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547.91346999999996</v>
      </c>
      <c r="G120" s="11">
        <f t="shared" si="6"/>
        <v>37746.807650000002</v>
      </c>
      <c r="H120" s="11">
        <f t="shared" si="6"/>
        <v>30463.192349999998</v>
      </c>
      <c r="I120" s="11">
        <f t="shared" si="6"/>
        <v>40524.127379999998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441.75400999999994</v>
      </c>
      <c r="G121" s="136">
        <f t="shared" si="7"/>
        <v>28835.822320000003</v>
      </c>
      <c r="H121" s="136">
        <f t="shared" si="7"/>
        <v>22173.177679999997</v>
      </c>
      <c r="I121" s="136">
        <f t="shared" si="7"/>
        <v>32422.051209999998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171.02417</f>
        <v>171.02417</v>
      </c>
      <c r="G122" s="130">
        <f>3651.59928</f>
        <v>3651.5992799999999</v>
      </c>
      <c r="H122" s="130">
        <f t="shared" ref="H122:H129" si="8">E122-G122</f>
        <v>10006.40072</v>
      </c>
      <c r="I122" s="130">
        <f>4306.85843</f>
        <v>4306.8584300000002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152.36975</f>
        <v>152.36975000000001</v>
      </c>
      <c r="G123" s="130">
        <f>9926.41649</f>
        <v>9926.4164899999996</v>
      </c>
      <c r="H123" s="130">
        <f t="shared" si="8"/>
        <v>4613.5835100000004</v>
      </c>
      <c r="I123" s="130">
        <f>10594.94938</f>
        <v>10594.94938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81.89025</f>
        <v>81.890249999999995</v>
      </c>
      <c r="G124" s="130">
        <f>7890.3642</f>
        <v>7890.3642</v>
      </c>
      <c r="H124" s="130">
        <f t="shared" si="8"/>
        <v>5907.6358</v>
      </c>
      <c r="I124" s="130">
        <f>11283.94723</f>
        <v>11283.94723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36.46984</f>
        <v>36.469839999999998</v>
      </c>
      <c r="G125" s="130">
        <f>7367.44235</f>
        <v>7367.4423500000003</v>
      </c>
      <c r="H125" s="130">
        <f t="shared" si="8"/>
        <v>1645.5576499999997</v>
      </c>
      <c r="I125" s="130">
        <f>6236.29617</f>
        <v>6236.2961699999996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0.57114</f>
        <v>0.57113999999999998</v>
      </c>
      <c r="G126" s="136">
        <f>6805.98197</f>
        <v>6805.9819699999998</v>
      </c>
      <c r="H126" s="136">
        <f t="shared" si="8"/>
        <v>5102.0180300000002</v>
      </c>
      <c r="I126" s="136">
        <f>6364.13438</f>
        <v>6364.1343800000004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105.58832</f>
        <v>105.58832</v>
      </c>
      <c r="G127" s="78">
        <f>2105.00336</f>
        <v>2105.0033600000002</v>
      </c>
      <c r="H127" s="78">
        <f t="shared" si="8"/>
        <v>3187.9966399999998</v>
      </c>
      <c r="I127" s="78">
        <f>1737.94179</f>
        <v>1737.9417900000001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0.1328</f>
        <v>0.1328</v>
      </c>
      <c r="G128" s="102">
        <f>22.32178</f>
        <v>22.32178</v>
      </c>
      <c r="H128" s="102">
        <f t="shared" si="8"/>
        <v>367.67822000000001</v>
      </c>
      <c r="I128" s="102">
        <f>35.23117</f>
        <v>35.231169999999999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0.04668</f>
        <v>4.6679999999999999E-2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604.92034999999998</v>
      </c>
      <c r="G133" s="80">
        <f t="shared" si="9"/>
        <v>74897.213739999992</v>
      </c>
      <c r="H133" s="80">
        <f>H117+H120+H128+H129+H130+H131+H132</f>
        <v>26738.786260000012</v>
      </c>
      <c r="I133" s="80">
        <f>I117+I120+I128+I129+I130+I131+I132</f>
        <v>85611.831119999988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165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903.14459999999997</v>
      </c>
      <c r="G154" s="11">
        <f t="shared" si="10"/>
        <v>56355.915099999998</v>
      </c>
      <c r="H154" s="11">
        <f t="shared" si="10"/>
        <v>5827.0849000000035</v>
      </c>
      <c r="I154" s="11">
        <f t="shared" si="10"/>
        <v>54360.603780000005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693.60705</f>
        <v>693.60704999999996</v>
      </c>
      <c r="G155" s="23">
        <f>47907.04809</f>
        <v>47907.048089999997</v>
      </c>
      <c r="H155" s="23">
        <f>E155-G155</f>
        <v>1757.9519100000034</v>
      </c>
      <c r="I155" s="23">
        <f>47566.52831</f>
        <v>47566.528310000002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209.53755</f>
        <v>209.53755000000001</v>
      </c>
      <c r="G156" s="23">
        <f>8448.86701</f>
        <v>8448.8670099999999</v>
      </c>
      <c r="H156" s="23">
        <f>E156-G156</f>
        <v>3569.1329900000001</v>
      </c>
      <c r="I156" s="23">
        <f>6794.07547</f>
        <v>6794.0754699999998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2.066</f>
        <v>2.0659999999999998</v>
      </c>
      <c r="G158" s="98">
        <v>47623.387609999998</v>
      </c>
      <c r="H158" s="98">
        <f>E158-G158</f>
        <v>1383.6123900000021</v>
      </c>
      <c r="I158" s="98">
        <f>29693.65807</f>
        <v>29693.658070000001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1548.7104300000001</v>
      </c>
      <c r="G159" s="97">
        <f t="shared" ref="G159" si="11">G160+G165+G168</f>
        <v>57881.407679999997</v>
      </c>
      <c r="H159" s="97">
        <f>H160+H165+H168</f>
        <v>11892.59232</v>
      </c>
      <c r="I159" s="97">
        <f>I160+I165+I168</f>
        <v>60499.724429999995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1282.7412299999999</v>
      </c>
      <c r="G160" s="128">
        <f>G161+G162+G164+G163</f>
        <v>44089.515069999994</v>
      </c>
      <c r="H160" s="128">
        <f>H161+H162+H163+H164</f>
        <v>7895.4849299999987</v>
      </c>
      <c r="I160" s="128">
        <f>I161+I162+I163+I164</f>
        <v>47554.317080000001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264.97226</f>
        <v>264.97226000000001</v>
      </c>
      <c r="G161" s="130">
        <v>8918.0294099999992</v>
      </c>
      <c r="H161" s="130">
        <f>E161-G161</f>
        <v>6388.9705900000008</v>
      </c>
      <c r="I161" s="130">
        <f>9193.73708</f>
        <v>9193.7370800000008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314.19077</f>
        <v>314.19076999999999</v>
      </c>
      <c r="G162" s="130">
        <v>12529.66481</v>
      </c>
      <c r="H162" s="130">
        <f>E162-G162</f>
        <v>329.33518999999978</v>
      </c>
      <c r="I162" s="130">
        <f>11588.48727</f>
        <v>11588.48727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450.20572</f>
        <v>450.20571999999999</v>
      </c>
      <c r="G163" s="130">
        <v>11112.66497</v>
      </c>
      <c r="H163" s="130">
        <f>E163-G163</f>
        <v>2582.3350300000002</v>
      </c>
      <c r="I163" s="130">
        <f>12826.1908</f>
        <v>12826.1908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253.37248</f>
        <v>253.37248</v>
      </c>
      <c r="G164" s="130">
        <v>11529.155880000002</v>
      </c>
      <c r="H164" s="130">
        <f>E164-G164</f>
        <v>-1405.1558800000021</v>
      </c>
      <c r="I164" s="130">
        <f>13945.90193</f>
        <v>13945.90193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256.06155</f>
        <v>256.06155000000001</v>
      </c>
      <c r="G168" s="78">
        <f>7783.28058</f>
        <v>7783.2805799999996</v>
      </c>
      <c r="H168" s="78">
        <f t="shared" si="12"/>
        <v>1751.7194200000004</v>
      </c>
      <c r="I168" s="78">
        <f>7566.25616</f>
        <v>7566.2561599999999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0.081</f>
        <v>8.1000000000000003E-2</v>
      </c>
      <c r="G169" s="143">
        <f>28.08467</f>
        <v>28.084669999999999</v>
      </c>
      <c r="H169" s="143">
        <f t="shared" si="12"/>
        <v>113.91533</v>
      </c>
      <c r="I169" s="143">
        <f>21.50176</f>
        <v>21.501760000000001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7.42451</f>
        <v>7.4245099999999997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2462.3085399999995</v>
      </c>
      <c r="G176" s="80">
        <f>G154+G158+G159+G169+G170+G171+G172+G173+G174</f>
        <v>164623.59785999998</v>
      </c>
      <c r="H176" s="80">
        <f>H154+H158+H159+H169+H170+H171+H172+H173+H174</f>
        <v>18789.402140000027</v>
      </c>
      <c r="I176" s="80">
        <f>I154+I158+I159+I169+I170+I171+I172+I173+I174</f>
        <v>147261.27974000003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16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81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35.22196</f>
        <v>35.221960000000003</v>
      </c>
      <c r="F201" s="276">
        <f>2116.12031</f>
        <v>2116.1203099999998</v>
      </c>
      <c r="G201" s="45">
        <f>D201-F201-F202</f>
        <v>1275.8313400000002</v>
      </c>
      <c r="H201" s="276">
        <f>1881.02853</f>
        <v>1881.02853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0</f>
        <v>0</v>
      </c>
      <c r="F202" s="156">
        <f>1690.04835</f>
        <v>1690.04835</v>
      </c>
      <c r="G202" s="217"/>
      <c r="H202" s="156">
        <f>1949.04409</f>
        <v>1949.0440900000001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0.1008</f>
        <v>0.1008</v>
      </c>
      <c r="F203" s="176">
        <f>51.16056</f>
        <v>51.160559999999997</v>
      </c>
      <c r="G203" s="176">
        <f>D203-F203</f>
        <v>148.83944</v>
      </c>
      <c r="H203" s="176">
        <f>94.30478</f>
        <v>94.304779999999994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26.955470000000002</v>
      </c>
      <c r="F204" s="185">
        <f>F205+F206+F207</f>
        <v>7787.6557100000009</v>
      </c>
      <c r="G204" s="185">
        <f>D204-F204</f>
        <v>-165.65571000000091</v>
      </c>
      <c r="H204" s="185">
        <f>H205+H206+H207</f>
        <v>8112.0090099999998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7.48958</f>
        <v>7.4895800000000001</v>
      </c>
      <c r="F205" s="130">
        <f>3958.45244</f>
        <v>3958.45244</v>
      </c>
      <c r="G205" s="130"/>
      <c r="H205" s="130">
        <f>4076.93278</f>
        <v>4076.9327800000001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10.24001</f>
        <v>10.24001</v>
      </c>
      <c r="F206" s="130">
        <f>2494.74023</f>
        <v>2494.7402299999999</v>
      </c>
      <c r="G206" s="130"/>
      <c r="H206" s="130">
        <f>2514.2707</f>
        <v>2514.2707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9.22588</f>
        <v>9.2258800000000001</v>
      </c>
      <c r="F207" s="196">
        <f>1334.46304</f>
        <v>1334.4630400000001</v>
      </c>
      <c r="G207" s="196"/>
      <c r="H207" s="196">
        <f>1520.80553</f>
        <v>1520.8055300000001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62.278230000000008</v>
      </c>
      <c r="F210" s="198">
        <f>F201+F202+F203+F204+F208+F209</f>
        <v>11644.984930000001</v>
      </c>
      <c r="G210" s="198">
        <f>D210-F210</f>
        <v>1330.0150699999995</v>
      </c>
      <c r="H210" s="198">
        <f>H201+H202+H203+H204+H208+H209</f>
        <v>12037.015609999999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5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5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146.04588</f>
        <v>146.04588000000001</v>
      </c>
      <c r="F230" s="124">
        <f>36857.61303</f>
        <v>36857.61303</v>
      </c>
      <c r="G230" s="124">
        <f>D230-F230</f>
        <v>7281.3869699999996</v>
      </c>
      <c r="H230" s="124">
        <f>42877.34644</f>
        <v>42877.346440000001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0.0635</f>
        <v>6.3500000000000001E-2</v>
      </c>
      <c r="F231" s="124">
        <f>58.7003</f>
        <v>58.700299999999999</v>
      </c>
      <c r="G231" s="124">
        <f>D231-F231</f>
        <v>41.299700000000001</v>
      </c>
      <c r="H231" s="124">
        <f>30.06978</f>
        <v>30.069780000000002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146.10938000000002</v>
      </c>
      <c r="F233" s="190">
        <f>SUM(F230:F232)</f>
        <v>36916.313329999997</v>
      </c>
      <c r="G233" s="190">
        <f>D233-F233</f>
        <v>7374.6866700000028</v>
      </c>
      <c r="H233" s="190">
        <f>SUM(H230:H232)</f>
        <v>42907.416219999999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12"/>
      <c r="G234" s="212"/>
      <c r="H234" s="212"/>
      <c r="I234" s="212"/>
      <c r="J234" s="216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10.36996</f>
        <v>10.369960000000001</v>
      </c>
      <c r="F284" s="124">
        <f>370.16722</f>
        <v>370.16721999999999</v>
      </c>
      <c r="G284" s="45">
        <f>D284-F284-F285</f>
        <v>-182.14019000000008</v>
      </c>
      <c r="H284" s="124">
        <f>479.24787</f>
        <v>479.24786999999998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23.28535</f>
        <v>23.285350000000001</v>
      </c>
      <c r="F285" s="124">
        <f>1676.97297</f>
        <v>1676.97297</v>
      </c>
      <c r="G285" s="140"/>
      <c r="H285" s="124">
        <f>1024.129</f>
        <v>1024.1289999999999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2.1</f>
        <v>2.1</v>
      </c>
      <c r="F286" s="168">
        <f>3.1032</f>
        <v>3.1032000000000002</v>
      </c>
      <c r="G286" s="124">
        <f>D286-F286</f>
        <v>1.8967999999999998</v>
      </c>
      <c r="H286" s="168">
        <f>1.389</f>
        <v>1.389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0.07697</f>
        <v>7.6969999999999997E-2</v>
      </c>
      <c r="F287" s="168">
        <f>6.94014</f>
        <v>6.9401400000000004</v>
      </c>
      <c r="G287" s="124"/>
      <c r="H287" s="168">
        <f>2.85771</f>
        <v>2.85771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35.832280000000004</v>
      </c>
      <c r="F288" s="190">
        <f>SUM(F284:F287)</f>
        <v>2057.1835300000002</v>
      </c>
      <c r="G288" s="190">
        <f>D288-F288</f>
        <v>-187.18353000000025</v>
      </c>
      <c r="H288" s="190">
        <f>H284+H285+H286+H287</f>
        <v>1507.6235799999997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5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214.52839999999998</v>
      </c>
      <c r="G314" s="253">
        <f t="shared" si="14"/>
        <v>9572.0631199999989</v>
      </c>
      <c r="H314" s="253">
        <f>H318+H317+H316+H315</f>
        <v>2531.9368800000002</v>
      </c>
      <c r="I314" s="253">
        <f t="shared" si="14"/>
        <v>13419.18687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45.3465</f>
        <v>45.346499999999999</v>
      </c>
      <c r="G315" s="257">
        <f>6301.51772</f>
        <v>6301.5177199999998</v>
      </c>
      <c r="H315" s="257">
        <f t="shared" ref="H315:H319" si="15">E315-G315</f>
        <v>-1043.5177199999998</v>
      </c>
      <c r="I315" s="257">
        <f>7768.21189</f>
        <v>7768.2118899999996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87.9417</f>
        <v>87.941699999999997</v>
      </c>
      <c r="G316" s="257">
        <f>652.85325</f>
        <v>652.85325</v>
      </c>
      <c r="H316" s="257">
        <f t="shared" si="15"/>
        <v>716.14675</v>
      </c>
      <c r="I316" s="257">
        <f>1735.06325</f>
        <v>1735.0632499999999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32.8032</f>
        <v>32.803199999999997</v>
      </c>
      <c r="G317" s="257">
        <f>1645.67995</f>
        <v>1645.67995</v>
      </c>
      <c r="H317" s="257">
        <f t="shared" si="15"/>
        <v>-362.67994999999996</v>
      </c>
      <c r="I317" s="257">
        <f>1535.40148</f>
        <v>1535.40148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48.437</f>
        <v>48.436999999999998</v>
      </c>
      <c r="G318" s="257">
        <f>972.0122</f>
        <v>972.01220000000001</v>
      </c>
      <c r="H318" s="257">
        <f t="shared" si="15"/>
        <v>3221.9877999999999</v>
      </c>
      <c r="I318" s="257">
        <f>2380.51025</f>
        <v>2380.5102499999998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0.895</f>
        <v>0.89500000000000002</v>
      </c>
      <c r="G319" s="268">
        <f>4571.64076</f>
        <v>4571.6407600000002</v>
      </c>
      <c r="H319" s="268">
        <f t="shared" si="15"/>
        <v>928.35923999999977</v>
      </c>
      <c r="I319" s="268">
        <f>2204.00913</f>
        <v>2204.0091299999999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138.72839999999999</v>
      </c>
      <c r="G320" s="269">
        <f>G322+G321</f>
        <v>4522.5827500000005</v>
      </c>
      <c r="H320" s="269">
        <f>E320-G320</f>
        <v>3477.4172499999995</v>
      </c>
      <c r="I320" s="269">
        <f>I322+I321</f>
        <v>3047.2647500000003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1261.238</f>
        <v>1261.2380000000001</v>
      </c>
      <c r="H321" s="257"/>
      <c r="I321" s="257">
        <f>13.22733</f>
        <v>13.22733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138.7284</f>
        <v>138.72839999999999</v>
      </c>
      <c r="G322" s="278">
        <f>3261.34475</f>
        <v>3261.3447500000002</v>
      </c>
      <c r="H322" s="278"/>
      <c r="I322" s="278">
        <f>3034.03742</f>
        <v>3034.0374200000001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0.4968</f>
        <v>0.49680000000000002</v>
      </c>
      <c r="H323" s="268">
        <f>E323-G323</f>
        <v>9.5031999999999996</v>
      </c>
      <c r="I323" s="268">
        <f>0.3915</f>
        <v>0.39150000000000001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4.39464</f>
        <v>4.3946399999999999</v>
      </c>
      <c r="G324" s="268">
        <f>242.468</f>
        <v>242.46799999999999</v>
      </c>
      <c r="H324" s="268">
        <f>E324-G324</f>
        <v>-242.46799999999999</v>
      </c>
      <c r="I324" s="268">
        <f>31.19524</f>
        <v>31.195239999999998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358.54643999999996</v>
      </c>
      <c r="G325" s="287">
        <f t="shared" si="16"/>
        <v>18909.25143</v>
      </c>
      <c r="H325" s="287">
        <f>H314+H319+H320+H323+H324</f>
        <v>6704.7485699999997</v>
      </c>
      <c r="I325" s="287">
        <f t="shared" si="16"/>
        <v>18702.047490000001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8"/>
      <c r="E348" s="209">
        <f>0</f>
        <v>0</v>
      </c>
      <c r="F348" s="209">
        <f>1081.99515</f>
        <v>1081.99515</v>
      </c>
      <c r="G348" s="210"/>
      <c r="H348" s="209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1"/>
      <c r="E349" s="213">
        <f>0</f>
        <v>0</v>
      </c>
      <c r="F349" s="213">
        <f>304.98618</f>
        <v>304.98617999999999</v>
      </c>
      <c r="G349" s="214"/>
      <c r="H349" s="213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64.739000000000004</v>
      </c>
      <c r="F353" s="36">
        <f>SUM(F354:F355)</f>
        <v>747.75271999999995</v>
      </c>
      <c r="G353" s="88">
        <f>D353-F353</f>
        <v>812.24728000000005</v>
      </c>
      <c r="H353" s="36">
        <f>SUM(H354:H355)</f>
        <v>567.69777999999997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43.518</f>
        <v>43.518000000000001</v>
      </c>
      <c r="F354" s="30">
        <f>587.76698</f>
        <v>587.76697999999999</v>
      </c>
      <c r="G354" s="100"/>
      <c r="H354" s="30">
        <f>492.1933</f>
        <v>492.19330000000002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21.221</f>
        <v>21.221</v>
      </c>
      <c r="F355" s="30">
        <f>159.98574</f>
        <v>159.98573999999999</v>
      </c>
      <c r="G355" s="111"/>
      <c r="H355" s="30">
        <f>75.50448</f>
        <v>75.504480000000001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64.739000000000004</v>
      </c>
      <c r="F357" s="42">
        <f>F347+F350+F353+F356</f>
        <v>3944.8819199999998</v>
      </c>
      <c r="G357" s="43">
        <f>SUM(G347:G356)</f>
        <v>561.11808000000019</v>
      </c>
      <c r="H357" s="42">
        <f>H347+H350+H353+H356</f>
        <v>3680.5897399999999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12"/>
      <c r="D359" s="204"/>
      <c r="E359" s="212"/>
      <c r="F359" s="212"/>
      <c r="G359" s="212"/>
      <c r="H359" s="212"/>
      <c r="I359" s="212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2022-10-31T08:25:11Z</dcterms:modified>
</cp:coreProperties>
</file>