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8FE2483D-1050-4C81-AD5D-62A24B77869E}" xr6:coauthVersionLast="47" xr6:coauthVersionMax="47" xr10:uidLastSave="{00000000-0000-0000-0000-000000000000}"/>
  <bookViews>
    <workbookView xWindow="29640" yWindow="3570" windowWidth="21600" windowHeight="113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G422" i="1"/>
  <c r="F422" i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E417" i="1"/>
  <c r="H416" i="1"/>
  <c r="F416" i="1"/>
  <c r="G416" i="1" s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D391" i="1"/>
  <c r="I390" i="1"/>
  <c r="G390" i="1"/>
  <c r="H390" i="1" s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I382" i="1"/>
  <c r="H382" i="1"/>
  <c r="H380" i="1" s="1"/>
  <c r="G382" i="1"/>
  <c r="F382" i="1"/>
  <c r="I381" i="1"/>
  <c r="H381" i="1"/>
  <c r="G381" i="1"/>
  <c r="F381" i="1"/>
  <c r="G380" i="1"/>
  <c r="F380" i="1"/>
  <c r="F391" i="1" s="1"/>
  <c r="D380" i="1"/>
  <c r="H372" i="1"/>
  <c r="F372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E250" i="1"/>
  <c r="F249" i="1"/>
  <c r="G249" i="1" s="1"/>
  <c r="H207" i="1"/>
  <c r="D207" i="1"/>
  <c r="H206" i="1"/>
  <c r="G206" i="1"/>
  <c r="F206" i="1"/>
  <c r="E206" i="1"/>
  <c r="H205" i="1"/>
  <c r="G205" i="1"/>
  <c r="F205" i="1"/>
  <c r="E205" i="1"/>
  <c r="H204" i="1"/>
  <c r="G204" i="1"/>
  <c r="F204" i="1"/>
  <c r="F207" i="1" s="1"/>
  <c r="G207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H178" i="1" s="1"/>
  <c r="H184" i="1" s="1"/>
  <c r="F180" i="1"/>
  <c r="E180" i="1"/>
  <c r="H179" i="1"/>
  <c r="F179" i="1"/>
  <c r="E179" i="1"/>
  <c r="E178" i="1" s="1"/>
  <c r="G178" i="1"/>
  <c r="F178" i="1"/>
  <c r="H177" i="1"/>
  <c r="F177" i="1"/>
  <c r="G177" i="1" s="1"/>
  <c r="E177" i="1"/>
  <c r="H176" i="1"/>
  <c r="F176" i="1"/>
  <c r="E176" i="1"/>
  <c r="H175" i="1"/>
  <c r="F175" i="1"/>
  <c r="F184" i="1" s="1"/>
  <c r="E175" i="1"/>
  <c r="E184" i="1" s="1"/>
  <c r="D169" i="1"/>
  <c r="D167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H139" i="1" s="1"/>
  <c r="F140" i="1"/>
  <c r="F139" i="1" s="1"/>
  <c r="F133" i="1" s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G134" i="1"/>
  <c r="G133" i="1" s="1"/>
  <c r="F134" i="1"/>
  <c r="E134" i="1"/>
  <c r="E133" i="1" s="1"/>
  <c r="D134" i="1"/>
  <c r="D133" i="1"/>
  <c r="I132" i="1"/>
  <c r="F132" i="1"/>
  <c r="I131" i="1"/>
  <c r="H131" i="1"/>
  <c r="G131" i="1"/>
  <c r="F131" i="1"/>
  <c r="I130" i="1"/>
  <c r="G130" i="1"/>
  <c r="H130" i="1" s="1"/>
  <c r="F130" i="1"/>
  <c r="I129" i="1"/>
  <c r="H129" i="1"/>
  <c r="H128" i="1" s="1"/>
  <c r="G129" i="1"/>
  <c r="G128" i="1" s="1"/>
  <c r="F129" i="1"/>
  <c r="F128" i="1" s="1"/>
  <c r="I128" i="1"/>
  <c r="E128" i="1"/>
  <c r="E150" i="1" s="1"/>
  <c r="D128" i="1"/>
  <c r="D150" i="1" s="1"/>
  <c r="C126" i="1"/>
  <c r="I106" i="1"/>
  <c r="G106" i="1"/>
  <c r="H106" i="1" s="1"/>
  <c r="F106" i="1"/>
  <c r="I105" i="1"/>
  <c r="H105" i="1"/>
  <c r="G105" i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I96" i="1" s="1"/>
  <c r="I95" i="1" s="1"/>
  <c r="G98" i="1"/>
  <c r="H98" i="1" s="1"/>
  <c r="F98" i="1"/>
  <c r="I97" i="1"/>
  <c r="H97" i="1"/>
  <c r="G97" i="1"/>
  <c r="F97" i="1"/>
  <c r="G96" i="1"/>
  <c r="F96" i="1"/>
  <c r="F95" i="1" s="1"/>
  <c r="E96" i="1"/>
  <c r="D96" i="1"/>
  <c r="G95" i="1"/>
  <c r="E95" i="1"/>
  <c r="D95" i="1"/>
  <c r="I94" i="1"/>
  <c r="H94" i="1"/>
  <c r="G94" i="1"/>
  <c r="F94" i="1"/>
  <c r="I93" i="1"/>
  <c r="I92" i="1" s="1"/>
  <c r="I107" i="1" s="1"/>
  <c r="G93" i="1"/>
  <c r="H93" i="1" s="1"/>
  <c r="H92" i="1" s="1"/>
  <c r="F93" i="1"/>
  <c r="F92" i="1" s="1"/>
  <c r="F107" i="1" s="1"/>
  <c r="E92" i="1"/>
  <c r="E107" i="1" s="1"/>
  <c r="D92" i="1"/>
  <c r="D107" i="1" s="1"/>
  <c r="C89" i="1"/>
  <c r="H85" i="1"/>
  <c r="F85" i="1"/>
  <c r="D85" i="1"/>
  <c r="G61" i="1"/>
  <c r="G60" i="1"/>
  <c r="H55" i="1"/>
  <c r="I32" i="1" s="1"/>
  <c r="F55" i="1"/>
  <c r="G32" i="1" s="1"/>
  <c r="E55" i="1"/>
  <c r="I43" i="1"/>
  <c r="H43" i="1"/>
  <c r="G43" i="1"/>
  <c r="F43" i="1"/>
  <c r="H42" i="1"/>
  <c r="I41" i="1"/>
  <c r="H41" i="1"/>
  <c r="G41" i="1"/>
  <c r="F41" i="1"/>
  <c r="H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G35" i="1"/>
  <c r="G34" i="1" s="1"/>
  <c r="F35" i="1"/>
  <c r="E35" i="1"/>
  <c r="D34" i="1"/>
  <c r="I33" i="1"/>
  <c r="H33" i="1"/>
  <c r="G33" i="1"/>
  <c r="F33" i="1"/>
  <c r="F32" i="1"/>
  <c r="I31" i="1"/>
  <c r="H31" i="1"/>
  <c r="G31" i="1"/>
  <c r="F31" i="1"/>
  <c r="I30" i="1"/>
  <c r="G30" i="1"/>
  <c r="H30" i="1" s="1"/>
  <c r="F30" i="1"/>
  <c r="I29" i="1"/>
  <c r="I27" i="1" s="1"/>
  <c r="H29" i="1"/>
  <c r="G29" i="1"/>
  <c r="F29" i="1"/>
  <c r="I28" i="1"/>
  <c r="G28" i="1"/>
  <c r="H28" i="1" s="1"/>
  <c r="F28" i="1"/>
  <c r="F27" i="1" s="1"/>
  <c r="E27" i="1"/>
  <c r="D27" i="1"/>
  <c r="D26" i="1" s="1"/>
  <c r="E26" i="1"/>
  <c r="I25" i="1"/>
  <c r="H25" i="1"/>
  <c r="G25" i="1"/>
  <c r="F25" i="1"/>
  <c r="F23" i="1" s="1"/>
  <c r="I24" i="1"/>
  <c r="I23" i="1" s="1"/>
  <c r="H24" i="1"/>
  <c r="H23" i="1" s="1"/>
  <c r="G24" i="1"/>
  <c r="G23" i="1" s="1"/>
  <c r="F24" i="1"/>
  <c r="E23" i="1"/>
  <c r="E44" i="1" s="1"/>
  <c r="D23" i="1"/>
  <c r="H16" i="1"/>
  <c r="F16" i="1"/>
  <c r="D16" i="1"/>
  <c r="G150" i="1" l="1"/>
  <c r="F34" i="1"/>
  <c r="F26" i="1" s="1"/>
  <c r="F44" i="1" s="1"/>
  <c r="H35" i="1"/>
  <c r="H134" i="1"/>
  <c r="H133" i="1" s="1"/>
  <c r="H150" i="1" s="1"/>
  <c r="G184" i="1"/>
  <c r="G27" i="1"/>
  <c r="H32" i="1"/>
  <c r="H27" i="1" s="1"/>
  <c r="G26" i="1"/>
  <c r="G44" i="1" s="1"/>
  <c r="H34" i="1"/>
  <c r="I26" i="1"/>
  <c r="I44" i="1" s="1"/>
  <c r="H96" i="1"/>
  <c r="H95" i="1" s="1"/>
  <c r="H107" i="1" s="1"/>
  <c r="F423" i="1"/>
  <c r="G413" i="1"/>
  <c r="I150" i="1"/>
  <c r="G295" i="1"/>
  <c r="F299" i="1"/>
  <c r="H391" i="1"/>
  <c r="D44" i="1"/>
  <c r="F150" i="1"/>
  <c r="G299" i="1"/>
  <c r="G391" i="1"/>
  <c r="G92" i="1"/>
  <c r="G107" i="1" s="1"/>
  <c r="G175" i="1"/>
  <c r="G55" i="1"/>
  <c r="F253" i="1"/>
  <c r="G253" i="1" s="1"/>
  <c r="H26" i="1" l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<sst xmlns="http://schemas.openxmlformats.org/spreadsheetml/2006/main" count="359" uniqueCount="152">
  <si>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</si>
  <si>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</si>
  <si>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</si>
  <si>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</si>
  <si>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</si>
  <si>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</si>
  <si>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</si>
  <si>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</si>
  <si>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</si>
  <si>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</si>
  <si>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</si>
  <si>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</si>
  <si>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</si>
  <si>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</si>
  <si>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</si>
  <si>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</si>
  <si>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</si>
  <si>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</si>
  <si>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</si>
  <si>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</si>
  <si>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</si>
  <si>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</si>
  <si>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</si>
  <si>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</si>
  <si>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</si>
  <si>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</si>
  <si>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</si>
  <si>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</si>
  <si>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</si>
  <si>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</si>
  <si>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</si>
  <si>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</si>
  <si>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</si>
  <si>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</si>
  <si>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</si>
  <si>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</si>
  <si>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</si>
  <si>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</si>
  <si>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</si>
  <si>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</si>
  <si>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</si>
  <si>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</si>
  <si>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</si>
  <si>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</si>
  <si>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</si>
  <si>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</si>
  <si>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</si>
  <si>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</si>
  <si>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</si>
  <si>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</si>
  <si>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</si>
  <si>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</si>
  <si>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</si>
  <si>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</si>
  <si>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</si>
  <si>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</si>
  <si>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</si>
  <si>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</si>
  <si>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</si>
  <si>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</si>
  <si>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</si>
  <si>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</si>
  <si>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</si>
  <si>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</si>
  <si>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</si>
  <si>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</si>
  <si>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</si>
  <si>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</si>
  <si>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</si>
  <si>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</si>
  <si>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</si>
  <si>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</si>
  <si>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</si>
  <si>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</si>
  <si>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</si>
  <si>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</si>
  <si>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</si>
  <si>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</si>
  <si>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</si>
  <si>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</si>
  <si>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</si>
  <si>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</si>
  <si>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</si>
  <si>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</si>
  <si>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</si>
  <si>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</si>
  <si>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</si>
  <si>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</si>
  <si>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</si>
  <si>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</si>
  <si>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</si>
  <si>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</si>
  <si>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</si>
  <si>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</si>
  <si>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</si>
  <si>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</si>
  <si>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</si>
  <si>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</si>
  <si>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</si>
  <si>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</si>
  <si>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</si>
  <si>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</si>
  <si>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</si>
  <si>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</si>
  <si>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</si>
  <si>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</si>
  <si>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</si>
  <si>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</si>
  <si>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</si>
  <si>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</si>
  <si>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</si>
  <si>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</si>
  <si>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</si>
  <si>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</si>
  <si>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</si>
  <si>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</si>
  <si>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</si>
  <si>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</si>
  <si>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</si>
  <si>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</si>
  <si>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</si>
  <si>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</si>
  <si>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</si>
  <si>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</si>
  <si>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</si>
  <si>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</si>
  <si>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</si>
  <si>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</si>
  <si>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</si>
  <si>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</si>
  <si>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</si>
  <si>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</si>
  <si>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</si>
  <si>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</si>
  <si>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</si>
  <si>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</si>
  <si>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</si>
  <si>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</si>
  <si>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</si>
  <si>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</si>
  <si>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</si>
  <si>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</si>
  <si>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</si>
  <si>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</si>
  <si>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14</t>
  </si>
  <si>
    <t>FANGST T.O.M UKE 14</t>
  </si>
  <si>
    <t>RESTKVOTER UKE 14</t>
  </si>
  <si>
    <t>FANGST T.O.M UKE 14 2023</t>
  </si>
  <si>
    <r>
      <t xml:space="preserve">3 </t>
    </r>
    <r>
      <rPr>
        <sz val="9"/>
        <color indexed="8"/>
        <rFont val="Calibri"/>
        <family val="2"/>
      </rPr>
      <t>Registrert rekreasjonsfiske utgjør 459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</si>
  <si>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</si>
  <si>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1 210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</si>
  <si>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129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</si>
</sst>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G14" sqref="G1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2303.5863300000001</v>
      </c>
      <c r="G23" s="28">
        <f t="shared" si="0"/>
        <v>30010.50117</v>
      </c>
      <c r="H23" s="11">
        <f t="shared" si="0"/>
        <v>30801.49883</v>
      </c>
      <c r="I23" s="11">
        <f t="shared" si="0"/>
        <v>32979.378250000002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2303.58633</f>
        <v>2303.5863300000001</v>
      </c>
      <c r="G24" s="23">
        <f>29610.59688</f>
        <v>29610.596880000001</v>
      </c>
      <c r="H24" s="23">
        <f>E24-G24</f>
        <v>30431.403119999999</v>
      </c>
      <c r="I24" s="23">
        <f>32805.63826</f>
        <v>32805.63826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399.90429</f>
        <v>399.90429</v>
      </c>
      <c r="H25" s="23">
        <f>E25-G25</f>
        <v>370.09571</v>
      </c>
      <c r="I25" s="23">
        <f>173.73999</f>
        <v>173.73999000000001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6317.9055600000002</v>
      </c>
      <c r="G26" s="11">
        <f t="shared" si="1"/>
        <v>96632.586309999999</v>
      </c>
      <c r="H26" s="11">
        <f t="shared" si="1"/>
        <v>48241.413689999994</v>
      </c>
      <c r="I26" s="11">
        <f t="shared" si="1"/>
        <v>120182.05602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4795.54529</v>
      </c>
      <c r="G27" s="132">
        <f t="shared" ref="G27:I27" si="2">G28+G29+G30+G31+G32</f>
        <v>82348.461320000002</v>
      </c>
      <c r="H27" s="132">
        <f t="shared" si="2"/>
        <v>30629.538679999998</v>
      </c>
      <c r="I27" s="132">
        <f t="shared" si="2"/>
        <v>98948.9427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2134.65251</f>
        <v>2134.6525099999999</v>
      </c>
      <c r="G28" s="127">
        <f>22114.14906 - F56</f>
        <v>22114.14906</v>
      </c>
      <c r="H28" s="127">
        <f t="shared" ref="H28:H40" si="3">E28-G28</f>
        <v>6515.8509400000003</v>
      </c>
      <c r="I28" s="127">
        <f>26537.95731 - H56</f>
        <v>26537.957310000002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1307.1098</f>
        <v>1307.1098</v>
      </c>
      <c r="G29" s="127">
        <f>24129.57021 - F57</f>
        <v>24129.570210000002</v>
      </c>
      <c r="H29" s="127">
        <f t="shared" si="3"/>
        <v>5535.4297899999983</v>
      </c>
      <c r="I29" s="127">
        <f>29706.35629 - H57</f>
        <v>29706.35629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974.6573</f>
        <v>974.65729999999996</v>
      </c>
      <c r="G30" s="127">
        <f>20656.38123 - F58</f>
        <v>20656.381229999999</v>
      </c>
      <c r="H30" s="127">
        <f t="shared" si="3"/>
        <v>6587.6187700000009</v>
      </c>
      <c r="I30" s="127">
        <f>24829.93867 - H58</f>
        <v>24829.93867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379.12568</f>
        <v>379.12567999999999</v>
      </c>
      <c r="G31" s="127">
        <f>15448.36082 - F59</f>
        <v>15448.36082</v>
      </c>
      <c r="H31" s="127">
        <f t="shared" si="3"/>
        <v>3890.6391800000001</v>
      </c>
      <c r="I31" s="127">
        <f>17874.69043 - H59</f>
        <v>17874.690429999999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264.97443</f>
        <v>264.97442999999998</v>
      </c>
      <c r="G33" s="132">
        <f>5586.76507</f>
        <v>5586.7650700000004</v>
      </c>
      <c r="H33" s="132">
        <f t="shared" si="3"/>
        <v>11272.234929999999</v>
      </c>
      <c r="I33" s="132">
        <f>8283.4006</f>
        <v>8283.4006000000008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1257.3858399999999</v>
      </c>
      <c r="G34" s="132">
        <f>G35+G36</f>
        <v>8697.3599200000008</v>
      </c>
      <c r="H34" s="132">
        <f t="shared" si="3"/>
        <v>6339.6400799999992</v>
      </c>
      <c r="I34" s="132">
        <f>I35+I36</f>
        <v>12949.71272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1257.38584</f>
        <v>1257.3858399999999</v>
      </c>
      <c r="G35" s="132">
        <f>10255.35992 - F60 - F61</f>
        <v>8697.3599200000008</v>
      </c>
      <c r="H35" s="127">
        <f t="shared" si="3"/>
        <v>5379.6400799999992</v>
      </c>
      <c r="I35" s="127">
        <f>14110.71272 - H60 - H61</f>
        <v>12949.71272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37.8464</f>
        <v>37.846400000000003</v>
      </c>
      <c r="G37" s="139">
        <f>75.6376</f>
        <v>75.637600000000006</v>
      </c>
      <c r="H37" s="139">
        <f t="shared" si="3"/>
        <v>1924.3624</v>
      </c>
      <c r="I37" s="139">
        <f>193.2124</f>
        <v>193.2124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45.26</f>
        <v>45.26</v>
      </c>
      <c r="G38" s="98">
        <f>407.39294</f>
        <v>407.39294000000001</v>
      </c>
      <c r="H38" s="98">
        <f t="shared" si="3"/>
        <v>447.60705999999999</v>
      </c>
      <c r="I38" s="98">
        <f>375.50668</f>
        <v>375.50668000000002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380</v>
      </c>
      <c r="G39" s="98">
        <f>F61</f>
        <v>1558</v>
      </c>
      <c r="H39" s="98">
        <f t="shared" si="3"/>
        <v>1442</v>
      </c>
      <c r="I39" s="98">
        <f>H61</f>
        <v>1161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66.85551</f>
        <v>66.855509999999995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59.721</f>
        <v>59.720999999999997</v>
      </c>
      <c r="G41" s="98">
        <f>266.74845</f>
        <v>266.74844999999999</v>
      </c>
      <c r="H41" s="98">
        <f>E41-G41</f>
        <v>133.25155000000001</v>
      </c>
      <c r="I41" s="98">
        <f>193.91195</f>
        <v>193.91194999999999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97.92076</f>
        <v>97.920760000000001</v>
      </c>
      <c r="H43" s="139">
        <f t="shared" ref="H43" si="4">E43-G43</f>
        <v>-97.920760000000001</v>
      </c>
      <c r="I43" s="139">
        <f>17.0025</f>
        <v>17.002500000000001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9211.1748000000007</v>
      </c>
      <c r="G44" s="76">
        <f t="shared" si="5"/>
        <v>136048.79123</v>
      </c>
      <c r="H44" s="76">
        <f t="shared" si="5"/>
        <v>82992.208769999997</v>
      </c>
      <c r="I44" s="76">
        <f t="shared" si="5"/>
        <v>162102.06779999999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148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380</v>
      </c>
      <c r="F61" s="139">
        <v>1558</v>
      </c>
      <c r="G61" s="139">
        <f>D61-F61</f>
        <v>1442</v>
      </c>
      <c r="H61" s="139">
        <v>1161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3.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1362.0663</v>
      </c>
      <c r="G92" s="11">
        <f t="shared" si="6"/>
        <v>20930.053980000001</v>
      </c>
      <c r="H92" s="11">
        <f t="shared" si="6"/>
        <v>5030.9460200000003</v>
      </c>
      <c r="I92" s="11">
        <f t="shared" si="6"/>
        <v>27132.244199999997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1362.0663</f>
        <v>1362.0663</v>
      </c>
      <c r="G93" s="23">
        <f>20183.32373</f>
        <v>20183.32373</v>
      </c>
      <c r="H93" s="23">
        <f>E93-G93</f>
        <v>4952.6762699999999</v>
      </c>
      <c r="I93" s="23">
        <f>26809.26546</f>
        <v>26809.265459999999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746.73025</f>
        <v>746.73024999999996</v>
      </c>
      <c r="H94" s="50">
        <f>E94-G94</f>
        <v>78.269750000000045</v>
      </c>
      <c r="I94" s="50">
        <f>322.97874</f>
        <v>322.97874000000002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1023.3135700000001</v>
      </c>
      <c r="G95" s="11">
        <f t="shared" si="7"/>
        <v>17145.13581</v>
      </c>
      <c r="H95" s="11">
        <f t="shared" si="7"/>
        <v>31848.864189999997</v>
      </c>
      <c r="I95" s="11">
        <f t="shared" si="7"/>
        <v>11995.846750000001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820.5448100000001</v>
      </c>
      <c r="G96" s="132">
        <f t="shared" si="8"/>
        <v>12131.71437</v>
      </c>
      <c r="H96" s="132">
        <f t="shared" si="8"/>
        <v>25362.285629999998</v>
      </c>
      <c r="I96" s="132">
        <f t="shared" si="8"/>
        <v>7572.4662599999992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172.69272</f>
        <v>172.69272000000001</v>
      </c>
      <c r="G97" s="127">
        <f>2983.0812</f>
        <v>2983.0812000000001</v>
      </c>
      <c r="H97" s="127">
        <f t="shared" ref="H97:H104" si="9">E97-G97</f>
        <v>7031.9187999999995</v>
      </c>
      <c r="I97" s="127">
        <f>1592.44288</f>
        <v>1592.4428800000001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221.48445</f>
        <v>221.48445000000001</v>
      </c>
      <c r="G98" s="127">
        <f>4103.0106</f>
        <v>4103.0105999999996</v>
      </c>
      <c r="H98" s="127">
        <f t="shared" si="9"/>
        <v>6510.9894000000004</v>
      </c>
      <c r="I98" s="127">
        <f>2146.54605</f>
        <v>2146.5460499999999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159.18509</f>
        <v>159.18509</v>
      </c>
      <c r="G99" s="127">
        <f>3146.41577</f>
        <v>3146.4157700000001</v>
      </c>
      <c r="H99" s="127">
        <f t="shared" si="9"/>
        <v>6965.5842300000004</v>
      </c>
      <c r="I99" s="127">
        <f>1816.95823</f>
        <v>1816.95823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267.18255</f>
        <v>267.18254999999999</v>
      </c>
      <c r="G100" s="127">
        <f>1899.2068</f>
        <v>1899.2067999999999</v>
      </c>
      <c r="H100" s="127">
        <f t="shared" si="9"/>
        <v>4853.7932000000001</v>
      </c>
      <c r="I100" s="127">
        <f>2016.5191</f>
        <v>2016.5191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130.43524</f>
        <v>130.43523999999999</v>
      </c>
      <c r="G101" s="132">
        <f>3663.26712</f>
        <v>3663.26712</v>
      </c>
      <c r="H101" s="132">
        <f t="shared" si="9"/>
        <v>3932.73288</v>
      </c>
      <c r="I101" s="132">
        <f>3501.66665</f>
        <v>3501.6666500000001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72.33352</f>
        <v>72.333519999999993</v>
      </c>
      <c r="G102" s="75">
        <f>1350.15432</f>
        <v>1350.1543200000001</v>
      </c>
      <c r="H102" s="75">
        <f t="shared" si="9"/>
        <v>2553.8456799999999</v>
      </c>
      <c r="I102" s="75">
        <f>921.71384</f>
        <v>921.71384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3.4471</f>
        <v>3.4470999999999998</v>
      </c>
      <c r="G103" s="98">
        <f>31.55706</f>
        <v>31.55706</v>
      </c>
      <c r="H103" s="98">
        <f t="shared" si="9"/>
        <v>287.44294000000002</v>
      </c>
      <c r="I103" s="98">
        <f>11.1417</f>
        <v>11.1417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4.03629</f>
        <v>4.0362900000000002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4.2493</f>
        <v>4.2492999999999999</v>
      </c>
      <c r="G105" s="98">
        <f>13.17124</f>
        <v>13.171239999999999</v>
      </c>
      <c r="H105" s="139">
        <f>E105-G105</f>
        <v>36.828760000000003</v>
      </c>
      <c r="I105" s="98">
        <f>4.56064</f>
        <v>4.5606400000000002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0.093</f>
        <v>9.2999999999999999E-2</v>
      </c>
      <c r="G106" s="139">
        <f>13.37624</f>
        <v>13.376239999999999</v>
      </c>
      <c r="H106" s="139">
        <f t="shared" ref="H106" si="10">E106-G106</f>
        <v>-13.376239999999999</v>
      </c>
      <c r="I106" s="139">
        <f>12.20168</f>
        <v>12.20168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2397.2055599999999</v>
      </c>
      <c r="G107" s="76">
        <f t="shared" si="12"/>
        <v>38433.294330000004</v>
      </c>
      <c r="H107" s="76">
        <f t="shared" si="12"/>
        <v>37190.705669999996</v>
      </c>
      <c r="I107" s="76">
        <f t="shared" si="12"/>
        <v>39455.99497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149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1154.11149</v>
      </c>
      <c r="G128" s="11">
        <f t="shared" si="13"/>
        <v>29161.238459999997</v>
      </c>
      <c r="H128" s="11">
        <f t="shared" si="13"/>
        <v>43145.761540000007</v>
      </c>
      <c r="I128" s="11">
        <f t="shared" si="13"/>
        <v>27634.49252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1153.84149</f>
        <v>1153.84149</v>
      </c>
      <c r="G129" s="23">
        <f>25538.90847</f>
        <v>25538.908469999998</v>
      </c>
      <c r="H129" s="23">
        <f>E129-G129</f>
        <v>32023.091530000002</v>
      </c>
      <c r="I129" s="23">
        <f>23632.41639</f>
        <v>23632.416389999999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3559.10484</f>
        <v>3559.10484</v>
      </c>
      <c r="H130" s="23">
        <f>E130-G130</f>
        <v>10685.89516</v>
      </c>
      <c r="I130" s="23">
        <f>3888.15488</f>
        <v>3888.15488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0.27</f>
        <v>0.27</v>
      </c>
      <c r="G131" s="23">
        <f>63.22515</f>
        <v>63.225149999999999</v>
      </c>
      <c r="H131" s="55">
        <f>E131-G131</f>
        <v>436.77485000000001</v>
      </c>
      <c r="I131" s="23">
        <f>113.92125</f>
        <v>113.92125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</f>
        <v>0</v>
      </c>
      <c r="G132" s="95">
        <f>21.8122+1209.727265</f>
        <v>1231.5394650000001</v>
      </c>
      <c r="H132" s="95">
        <f>E132-G132</f>
        <v>51264.460534999998</v>
      </c>
      <c r="I132" s="95">
        <f>138.14053</f>
        <v>138.14053000000001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1698.6018599999998</v>
      </c>
      <c r="G133" s="94">
        <f t="shared" ref="G133" si="14">G134+G139+G142</f>
        <v>38724.659474999993</v>
      </c>
      <c r="H133" s="94">
        <f>H134+H139+H142</f>
        <v>41440.340524999992</v>
      </c>
      <c r="I133" s="94">
        <f>I134+I139+I142</f>
        <v>36514.40309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1096.9183499999999</v>
      </c>
      <c r="G134" s="125">
        <f>G135+G136+G138+G137</f>
        <v>28874.404334999999</v>
      </c>
      <c r="H134" s="125">
        <f>H135+H136+H137+H138</f>
        <v>30204.595664999997</v>
      </c>
      <c r="I134" s="125">
        <f>I135+I136+I137+I138</f>
        <v>29410.7212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185.71122</f>
        <v>185.71122</v>
      </c>
      <c r="G135" s="127">
        <v>5411.7267499999998</v>
      </c>
      <c r="H135" s="127">
        <f>E135-G135</f>
        <v>12362.27325</v>
      </c>
      <c r="I135" s="127">
        <f>4345.97112</f>
        <v>4345.9711200000002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323.60843</f>
        <v>323.60843</v>
      </c>
      <c r="G136" s="127">
        <v>9207.5558149999997</v>
      </c>
      <c r="H136" s="127">
        <f>E136-G136</f>
        <v>5731.4441850000003</v>
      </c>
      <c r="I136" s="127">
        <f>8689.24734</f>
        <v>8689.2473399999999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340.66711</f>
        <v>340.66710999999998</v>
      </c>
      <c r="G137" s="127">
        <v>7411.7146899999998</v>
      </c>
      <c r="H137" s="127">
        <f>E137-G137</f>
        <v>5639.2853100000002</v>
      </c>
      <c r="I137" s="127">
        <f>7525.59668</f>
        <v>7525.5966799999997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246.93159</f>
        <v>246.93159</v>
      </c>
      <c r="G138" s="127">
        <v>6843.40708</v>
      </c>
      <c r="H138" s="127">
        <f>E138-G138</f>
        <v>6471.59292</v>
      </c>
      <c r="I138" s="127">
        <f>8849.90606</f>
        <v>8849.9060599999993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459.45554999999996</v>
      </c>
      <c r="G139" s="132">
        <f>SUM(G140:G141)</f>
        <v>7511.8332099999998</v>
      </c>
      <c r="H139" s="132">
        <f>H140+H141</f>
        <v>1418.1667900000002</v>
      </c>
      <c r="I139" s="132">
        <f>SUM(I140:I141)</f>
        <v>5247.1050800000003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425.12145</f>
        <v>425.12144999999998</v>
      </c>
      <c r="G140" s="127">
        <f>7337.47297</f>
        <v>7337.4729699999998</v>
      </c>
      <c r="H140" s="127">
        <f t="shared" ref="H140:H148" si="15">E140-G140</f>
        <v>1092.5270300000002</v>
      </c>
      <c r="I140" s="127">
        <f>5142.08629</f>
        <v>5142.0862900000002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34.3341</f>
        <v>34.334099999999999</v>
      </c>
      <c r="G141" s="127">
        <f>174.36024</f>
        <v>174.36024</v>
      </c>
      <c r="H141" s="127">
        <f t="shared" si="15"/>
        <v>325.63976000000002</v>
      </c>
      <c r="I141" s="127">
        <f>105.01879</f>
        <v>105.01879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142.22796</f>
        <v>142.22796</v>
      </c>
      <c r="G142" s="75">
        <f>2338.42193</f>
        <v>2338.42193</v>
      </c>
      <c r="H142" s="75">
        <f t="shared" si="15"/>
        <v>9817.5780699999996</v>
      </c>
      <c r="I142" s="75">
        <f>1856.57681</f>
        <v>1856.57681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1.89</f>
        <v>1.89</v>
      </c>
      <c r="G143" s="139">
        <f>14.14968</f>
        <v>14.14968</v>
      </c>
      <c r="H143" s="139">
        <f t="shared" si="15"/>
        <v>131.85032000000001</v>
      </c>
      <c r="I143" s="139">
        <f>17.93671</f>
        <v>17.936710000000001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10.60225</f>
        <v>10.60225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1.8191</f>
        <v>1.8190999999999999</v>
      </c>
      <c r="G147" s="98">
        <f>22.98133</f>
        <v>22.98133</v>
      </c>
      <c r="H147" s="139">
        <f t="shared" si="15"/>
        <v>253.01866999999999</v>
      </c>
      <c r="I147" s="98">
        <f>17.5369</f>
        <v>17.536899999999999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109.82069</f>
        <v>109.82069</v>
      </c>
      <c r="H148" s="139">
        <f t="shared" si="15"/>
        <v>-109.82069</v>
      </c>
      <c r="I148" s="139">
        <f>63.0988</f>
        <v>63.098799999999997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2867.0246999999999</v>
      </c>
      <c r="G150" s="76">
        <f>G128+G132+G133+G143+G144+G145+G146+G147+G148</f>
        <v>71264.389099999986</v>
      </c>
      <c r="H150" s="76">
        <f>H128+H132+H133+H143+H144+H145+H146+H147+H148</f>
        <v>136375.6109</v>
      </c>
      <c r="I150" s="76">
        <f>I128+I132+I133+I143+I144+I145+I146+I147+I148</f>
        <v>66385.608550000004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151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2.03879</f>
        <v>2.0387900000000001</v>
      </c>
      <c r="F175" s="275">
        <f>317.57561</f>
        <v>317.57560999999998</v>
      </c>
      <c r="G175" s="43">
        <f>D175-F175-F176</f>
        <v>3643.8558900000003</v>
      </c>
      <c r="H175" s="275">
        <f>510.16599</f>
        <v>510.16599000000002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0.60619</f>
        <v>0.60619000000000001</v>
      </c>
      <c r="F176" s="152">
        <f>261.5685</f>
        <v>261.56849999999997</v>
      </c>
      <c r="G176" s="216"/>
      <c r="H176" s="152">
        <f>184.02899</f>
        <v>184.02898999999999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0.55772</f>
        <v>0.55771999999999999</v>
      </c>
      <c r="F177" s="172">
        <f>24.48638</f>
        <v>24.48638</v>
      </c>
      <c r="G177" s="172">
        <f>D177-F177</f>
        <v>175.51362</v>
      </c>
      <c r="H177" s="172">
        <f>22.40974</f>
        <v>22.409739999999999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3.8858000000000001</v>
      </c>
      <c r="F178" s="181">
        <f>F179+F180+F181</f>
        <v>41.065249999999999</v>
      </c>
      <c r="G178" s="181">
        <f>D178-F178</f>
        <v>6292.9347500000003</v>
      </c>
      <c r="H178" s="181">
        <f>H179+H180+H181</f>
        <v>19.18852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3.26332</f>
        <v>3.2633200000000002</v>
      </c>
      <c r="F179" s="127">
        <f>21.26401</f>
        <v>21.264009999999999</v>
      </c>
      <c r="G179" s="127"/>
      <c r="H179" s="127">
        <f>5.46094</f>
        <v>5.4609399999999999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0.6068</f>
        <v>0.60680000000000001</v>
      </c>
      <c r="F180" s="127">
        <f>11.39976</f>
        <v>11.399760000000001</v>
      </c>
      <c r="G180" s="127"/>
      <c r="H180" s="127">
        <f>12.66602</f>
        <v>12.66602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0.01568</f>
        <v>1.5679999999999999E-2</v>
      </c>
      <c r="F181" s="192">
        <f>8.40148</f>
        <v>8.4014799999999994</v>
      </c>
      <c r="G181" s="192"/>
      <c r="H181" s="192">
        <f>1.06156</f>
        <v>1.0615600000000001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7.0884999999999998</v>
      </c>
      <c r="F184" s="194">
        <f>F175+F176+F177+F178+F182+F183</f>
        <v>644.69574</v>
      </c>
      <c r="G184" s="194">
        <f>D184-F184</f>
        <v>10178.304260000001</v>
      </c>
      <c r="H184" s="194">
        <f>H175+H176+H177+H178+H182+H183</f>
        <v>735.79324000000008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43.74739</f>
        <v>43.747390000000003</v>
      </c>
      <c r="F204" s="124">
        <f>13061.71524</f>
        <v>13061.71524</v>
      </c>
      <c r="G204" s="124">
        <f>D204-F204</f>
        <v>33220.284760000002</v>
      </c>
      <c r="H204" s="124">
        <f>7442.70159</f>
        <v>7442.7015899999997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0.048</f>
        <v>4.8000000000000001E-2</v>
      </c>
      <c r="F205" s="124">
        <f>1.58905</f>
        <v>1.5890500000000001</v>
      </c>
      <c r="G205" s="124">
        <f>D205-F205</f>
        <v>98.41095</v>
      </c>
      <c r="H205" s="124">
        <f>0.8113</f>
        <v>0.81130000000000002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43.795390000000005</v>
      </c>
      <c r="F207" s="190">
        <f>SUM(F204:F206)</f>
        <v>13063.30429</v>
      </c>
      <c r="G207" s="190">
        <f>D207-F207</f>
        <v>33354.69571</v>
      </c>
      <c r="H207" s="190">
        <f>SUM(H204:H206)</f>
        <v>7443.51289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316.86691999999999</v>
      </c>
      <c r="F249" s="75">
        <f>F250+F251</f>
        <v>1835.04261</v>
      </c>
      <c r="G249" s="75">
        <f>D249-F249</f>
        <v>2151.95739</v>
      </c>
      <c r="H249" s="75">
        <f>H250+H251</f>
        <v>1041.6821500000001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297.63018</f>
        <v>297.63018</v>
      </c>
      <c r="F250" s="75">
        <f>1455.58007</f>
        <v>1455.58007</v>
      </c>
      <c r="G250" s="75"/>
      <c r="H250" s="75">
        <f>764.28312</f>
        <v>764.28312000000005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19.23674</f>
        <v>19.236740000000001</v>
      </c>
      <c r="F251" s="124">
        <f>379.46254</f>
        <v>379.46253999999999</v>
      </c>
      <c r="G251" s="168"/>
      <c r="H251" s="124">
        <f>277.39903</f>
        <v>277.39902999999998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244.72662</f>
        <v>244.72662</v>
      </c>
      <c r="F252" s="75">
        <f>1894.41035</f>
        <v>1894.4103500000001</v>
      </c>
      <c r="G252" s="75">
        <f>D252-F252</f>
        <v>2718.5896499999999</v>
      </c>
      <c r="H252" s="75">
        <f>1700.20373</f>
        <v>1700.20373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878.46046000000013</v>
      </c>
      <c r="F253" s="190">
        <f>SUM(F249:F252)</f>
        <v>5564.49557</v>
      </c>
      <c r="G253" s="190">
        <f>D253-F253</f>
        <v>3035.50443</v>
      </c>
      <c r="H253" s="190">
        <f>SUM(H249:H252)</f>
        <v>3783.5680300000004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250.88146</v>
      </c>
      <c r="F295" s="75">
        <f>F296+F297</f>
        <v>1482.5719300000001</v>
      </c>
      <c r="G295" s="75">
        <f>D295-F295</f>
        <v>3607.4280699999999</v>
      </c>
      <c r="H295" s="75">
        <f>H296+H297</f>
        <v>587.69818999999995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240.90392</f>
        <v>240.90392</v>
      </c>
      <c r="F296" s="75">
        <f>1185.51539</f>
        <v>1185.51539</v>
      </c>
      <c r="G296" s="75"/>
      <c r="H296" s="75">
        <f>405.44399</f>
        <v>405.44398999999999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9.97754</f>
        <v>9.9775399999999994</v>
      </c>
      <c r="F297" s="124">
        <f>297.05654</f>
        <v>297.05653999999998</v>
      </c>
      <c r="G297" s="168"/>
      <c r="H297" s="124">
        <f>182.2542</f>
        <v>182.2542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72.97114</f>
        <v>72.971140000000005</v>
      </c>
      <c r="F298" s="75">
        <f>1155.17224</f>
        <v>1155.1722400000001</v>
      </c>
      <c r="G298" s="75">
        <f>D298-F298</f>
        <v>1825.8277599999999</v>
      </c>
      <c r="H298" s="75">
        <f>911.6109</f>
        <v>911.61090000000002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574.73406</v>
      </c>
      <c r="F299" s="190">
        <f>SUM(F295:F298)</f>
        <v>4120.3161</v>
      </c>
      <c r="G299" s="190">
        <f>D299-F299</f>
        <v>3950.6839</v>
      </c>
      <c r="H299" s="190">
        <f>SUM(H295:H298)</f>
        <v>2087.0072799999998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13.94928</f>
        <v>13.94928</v>
      </c>
      <c r="F350" s="124">
        <f>153.71834</f>
        <v>153.71834000000001</v>
      </c>
      <c r="G350" s="124">
        <f>D350-F350</f>
        <v>646.28165999999999</v>
      </c>
      <c r="H350" s="124">
        <f>106.10113</f>
        <v>106.10113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10.47285</f>
        <v>10.472849999999999</v>
      </c>
      <c r="F351" s="124">
        <f>358.31159</f>
        <v>358.31159000000002</v>
      </c>
      <c r="G351" s="124">
        <f>D351-F351</f>
        <v>2682.6884099999997</v>
      </c>
      <c r="H351" s="124">
        <f>414.30077</f>
        <v>414.30077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0.19022</f>
        <v>0.19022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24.422129999999999</v>
      </c>
      <c r="F354" s="190">
        <f>SUM(F350:F353)</f>
        <v>512.68699000000004</v>
      </c>
      <c r="G354" s="190">
        <f>D354-F354</f>
        <v>3338.3130099999998</v>
      </c>
      <c r="H354" s="190">
        <f>H350+H351+H352+H353</f>
        <v>520.68215999999995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144</v>
      </c>
      <c r="G379" s="222" t="s">
        <v>145</v>
      </c>
      <c r="H379" s="222" t="s">
        <v>146</v>
      </c>
      <c r="I379" s="222" t="s">
        <v>147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56.195920000000001</v>
      </c>
      <c r="G380" s="252">
        <f t="shared" si="17"/>
        <v>4357.8239699999995</v>
      </c>
      <c r="H380" s="252">
        <f>H384+H383+H382+H381</f>
        <v>18611.176030000002</v>
      </c>
      <c r="I380" s="252">
        <f t="shared" si="17"/>
        <v>2930.6394799999998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3242.49516</f>
        <v>3242.4951599999999</v>
      </c>
      <c r="H381" s="256">
        <f t="shared" ref="H381:H385" si="18">E381-G381</f>
        <v>9947.5048399999996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411.9444</f>
        <v>411.94439999999997</v>
      </c>
      <c r="H382" s="256">
        <f t="shared" si="18"/>
        <v>3021.0556000000001</v>
      </c>
      <c r="I382" s="256">
        <f>531.225</f>
        <v>531.22500000000002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53.92452</f>
        <v>53.924520000000001</v>
      </c>
      <c r="G383" s="256">
        <f>672.21601</f>
        <v>672.21600999999998</v>
      </c>
      <c r="H383" s="256">
        <f t="shared" si="18"/>
        <v>810.78399000000002</v>
      </c>
      <c r="I383" s="256">
        <f>534.26725</f>
        <v>534.26724999999999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2.2714</f>
        <v>2.2713999999999999</v>
      </c>
      <c r="G384" s="256">
        <f>31.1684</f>
        <v>31.168399999999998</v>
      </c>
      <c r="H384" s="256">
        <f t="shared" si="18"/>
        <v>4831.8316000000004</v>
      </c>
      <c r="I384" s="256">
        <f>246.58305</f>
        <v>246.58304999999999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66.17156</f>
        <v>66.171559999999999</v>
      </c>
      <c r="G385" s="267">
        <f>67.14256</f>
        <v>67.142560000000003</v>
      </c>
      <c r="H385" s="267">
        <f t="shared" si="18"/>
        <v>5432.8574399999998</v>
      </c>
      <c r="I385" s="267">
        <f>19.42</f>
        <v>19.420000000000002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18.662520000000001</v>
      </c>
      <c r="G386" s="268">
        <f>G388+G387</f>
        <v>1215.9155700000001</v>
      </c>
      <c r="H386" s="268">
        <f>E386-G386</f>
        <v>6784.0844299999999</v>
      </c>
      <c r="I386" s="268">
        <f>I388+I387</f>
        <v>1528.2329400000001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18.66252</f>
        <v>18.662520000000001</v>
      </c>
      <c r="G388" s="277">
        <f>698.84181</f>
        <v>698.84181000000001</v>
      </c>
      <c r="H388" s="277"/>
      <c r="I388" s="277">
        <f>785.65934</f>
        <v>785.65934000000004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0.12</f>
        <v>0.12</v>
      </c>
      <c r="G390" s="267">
        <f>4.103</f>
        <v>4.1029999999999998</v>
      </c>
      <c r="H390" s="267">
        <f>E390-G390</f>
        <v>-4.1029999999999998</v>
      </c>
      <c r="I390" s="267">
        <f>11.96632</f>
        <v>11.96632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141.15</v>
      </c>
      <c r="G391" s="286">
        <f t="shared" si="19"/>
        <v>5645.0114999999996</v>
      </c>
      <c r="H391" s="286">
        <f>H380+H385+H386+H389+H390</f>
        <v>30836.988500000003</v>
      </c>
      <c r="I391" s="286">
        <f t="shared" si="19"/>
        <v>4490.3154400000003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19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1221.9089799999999</v>
      </c>
      <c r="G416" s="85">
        <f>D416-F416</f>
        <v>-161.90897999999993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56.128</v>
      </c>
      <c r="F419" s="36">
        <f>SUM(F420:F421)</f>
        <v>348.73536999999999</v>
      </c>
      <c r="G419" s="85">
        <f>D419-F419</f>
        <v>886.26463000000001</v>
      </c>
      <c r="H419" s="36">
        <f>SUM(H420:H421)</f>
        <v>654.39278000000002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39.1731</f>
        <v>39.173099999999998</v>
      </c>
      <c r="F420" s="30">
        <f>237.48474</f>
        <v>237.48473999999999</v>
      </c>
      <c r="G420" s="97"/>
      <c r="H420" s="30">
        <f>465.67998</f>
        <v>465.67998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16.9549</f>
        <v>16.954899999999999</v>
      </c>
      <c r="F421" s="30">
        <f>111.25063</f>
        <v>111.25063</v>
      </c>
      <c r="G421" s="108"/>
      <c r="H421" s="30">
        <f>188.7128</f>
        <v>188.71279999999999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56.128</v>
      </c>
      <c r="F423" s="40">
        <f>F413+F416+F419+F422</f>
        <v>2559.0455799999995</v>
      </c>
      <c r="G423" s="41"/>
      <c r="H423" s="40">
        <f>H413+H416+H419+H422</f>
        <v>4386.2259400000003</v>
      </c>
      <c r="I423" s="27"/>
      <c r="J423" s="130"/>
    </row>
    <row r="424" spans="1:10" ht="42" customHeight="1" x14ac:dyDescent="0.2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14&amp;R08.04.2024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2024-04-08T08:02:16Z</dcterms:modified>
</cp:coreProperties>
</file>