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5\"/>
    </mc:Choice>
  </mc:AlternateContent>
  <xr:revisionPtr revIDLastSave="0" documentId="13_ncr:1_{93E02B73-6D1F-443A-97FC-27CF5205FCE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5" i="1" l="1"/>
  <c r="F345" i="1"/>
  <c r="E345" i="1"/>
  <c r="D345" i="1"/>
  <c r="G344" i="1"/>
  <c r="G345" i="1" s="1"/>
  <c r="G343" i="1"/>
  <c r="E336" i="1"/>
  <c r="E324" i="1"/>
  <c r="D324" i="1"/>
  <c r="H323" i="1"/>
  <c r="H324" i="1" s="1"/>
  <c r="F323" i="1"/>
  <c r="G323" i="1" s="1"/>
  <c r="E323" i="1"/>
  <c r="H322" i="1"/>
  <c r="F322" i="1"/>
  <c r="G322" i="1" s="1"/>
  <c r="E322" i="1"/>
  <c r="E315" i="1"/>
  <c r="D304" i="1"/>
  <c r="H303" i="1"/>
  <c r="F303" i="1"/>
  <c r="G303" i="1" s="1"/>
  <c r="E303" i="1"/>
  <c r="H302" i="1"/>
  <c r="H300" i="1" s="1"/>
  <c r="F302" i="1"/>
  <c r="E302" i="1"/>
  <c r="H301" i="1"/>
  <c r="F301" i="1"/>
  <c r="E301" i="1"/>
  <c r="E300" i="1" s="1"/>
  <c r="F300" i="1"/>
  <c r="G300" i="1" s="1"/>
  <c r="H299" i="1"/>
  <c r="F299" i="1"/>
  <c r="E299" i="1"/>
  <c r="H298" i="1"/>
  <c r="F298" i="1"/>
  <c r="F297" i="1" s="1"/>
  <c r="G297" i="1" s="1"/>
  <c r="E298" i="1"/>
  <c r="E297" i="1" s="1"/>
  <c r="H297" i="1"/>
  <c r="H296" i="1"/>
  <c r="F296" i="1"/>
  <c r="E296" i="1"/>
  <c r="E294" i="1" s="1"/>
  <c r="H295" i="1"/>
  <c r="F295" i="1"/>
  <c r="E295" i="1"/>
  <c r="H294" i="1"/>
  <c r="H304" i="1" s="1"/>
  <c r="F294" i="1"/>
  <c r="G294" i="1" s="1"/>
  <c r="I272" i="1"/>
  <c r="G272" i="1"/>
  <c r="H272" i="1" s="1"/>
  <c r="F272" i="1"/>
  <c r="I271" i="1"/>
  <c r="G271" i="1"/>
  <c r="H271" i="1" s="1"/>
  <c r="F271" i="1"/>
  <c r="I270" i="1"/>
  <c r="I268" i="1" s="1"/>
  <c r="G270" i="1"/>
  <c r="G268" i="1" s="1"/>
  <c r="H268" i="1" s="1"/>
  <c r="F270" i="1"/>
  <c r="F268" i="1" s="1"/>
  <c r="I269" i="1"/>
  <c r="G269" i="1"/>
  <c r="F269" i="1"/>
  <c r="I267" i="1"/>
  <c r="G267" i="1"/>
  <c r="H267" i="1" s="1"/>
  <c r="F267" i="1"/>
  <c r="I266" i="1"/>
  <c r="I262" i="1" s="1"/>
  <c r="G266" i="1"/>
  <c r="H266" i="1" s="1"/>
  <c r="F266" i="1"/>
  <c r="I265" i="1"/>
  <c r="G265" i="1"/>
  <c r="H265" i="1" s="1"/>
  <c r="F265" i="1"/>
  <c r="I264" i="1"/>
  <c r="G264" i="1"/>
  <c r="H264" i="1" s="1"/>
  <c r="F264" i="1"/>
  <c r="F262" i="1" s="1"/>
  <c r="F273" i="1" s="1"/>
  <c r="I263" i="1"/>
  <c r="G263" i="1"/>
  <c r="H263" i="1" s="1"/>
  <c r="F263" i="1"/>
  <c r="E262" i="1"/>
  <c r="E273" i="1" s="1"/>
  <c r="D262" i="1"/>
  <c r="D273" i="1" s="1"/>
  <c r="H254" i="1"/>
  <c r="F254" i="1"/>
  <c r="D251" i="1"/>
  <c r="D250" i="1"/>
  <c r="H241" i="1"/>
  <c r="F241" i="1"/>
  <c r="G241" i="1" s="1"/>
  <c r="D241" i="1"/>
  <c r="H240" i="1"/>
  <c r="G240" i="1"/>
  <c r="F240" i="1"/>
  <c r="E240" i="1"/>
  <c r="H239" i="1"/>
  <c r="F239" i="1"/>
  <c r="G239" i="1" s="1"/>
  <c r="E239" i="1"/>
  <c r="H238" i="1"/>
  <c r="G238" i="1"/>
  <c r="F238" i="1"/>
  <c r="E238" i="1"/>
  <c r="H237" i="1"/>
  <c r="G237" i="1"/>
  <c r="F237" i="1"/>
  <c r="E237" i="1"/>
  <c r="E241" i="1" s="1"/>
  <c r="D230" i="1"/>
  <c r="F219" i="1"/>
  <c r="D219" i="1"/>
  <c r="G219" i="1" s="1"/>
  <c r="H218" i="1"/>
  <c r="G218" i="1"/>
  <c r="F218" i="1"/>
  <c r="E218" i="1"/>
  <c r="H217" i="1"/>
  <c r="F217" i="1"/>
  <c r="E217" i="1"/>
  <c r="H216" i="1"/>
  <c r="H215" i="1" s="1"/>
  <c r="H219" i="1" s="1"/>
  <c r="F216" i="1"/>
  <c r="E216" i="1"/>
  <c r="F215" i="1"/>
  <c r="G215" i="1" s="1"/>
  <c r="E215" i="1"/>
  <c r="E219" i="1" s="1"/>
  <c r="H206" i="1"/>
  <c r="F206" i="1"/>
  <c r="G206" i="1" s="1"/>
  <c r="D206" i="1"/>
  <c r="H205" i="1"/>
  <c r="F205" i="1"/>
  <c r="G205" i="1" s="1"/>
  <c r="E205" i="1"/>
  <c r="H204" i="1"/>
  <c r="F204" i="1"/>
  <c r="E204" i="1"/>
  <c r="H203" i="1"/>
  <c r="F203" i="1"/>
  <c r="E203" i="1"/>
  <c r="E202" i="1" s="1"/>
  <c r="E206" i="1" s="1"/>
  <c r="H202" i="1"/>
  <c r="G202" i="1"/>
  <c r="F202" i="1"/>
  <c r="E192" i="1"/>
  <c r="D192" i="1"/>
  <c r="I191" i="1"/>
  <c r="G191" i="1"/>
  <c r="H191" i="1" s="1"/>
  <c r="F191" i="1"/>
  <c r="I190" i="1"/>
  <c r="H190" i="1"/>
  <c r="G190" i="1"/>
  <c r="F190" i="1"/>
  <c r="I189" i="1"/>
  <c r="I192" i="1" s="1"/>
  <c r="G189" i="1"/>
  <c r="H189" i="1" s="1"/>
  <c r="F189" i="1"/>
  <c r="F192" i="1" s="1"/>
  <c r="D169" i="1"/>
  <c r="H168" i="1"/>
  <c r="F168" i="1"/>
  <c r="G168" i="1" s="1"/>
  <c r="E168" i="1"/>
  <c r="H167" i="1"/>
  <c r="G167" i="1"/>
  <c r="F167" i="1"/>
  <c r="E167" i="1"/>
  <c r="H166" i="1"/>
  <c r="F166" i="1"/>
  <c r="E166" i="1"/>
  <c r="H165" i="1"/>
  <c r="F165" i="1"/>
  <c r="E165" i="1"/>
  <c r="H164" i="1"/>
  <c r="H163" i="1" s="1"/>
  <c r="F164" i="1"/>
  <c r="F163" i="1" s="1"/>
  <c r="G163" i="1" s="1"/>
  <c r="E164" i="1"/>
  <c r="E163" i="1" s="1"/>
  <c r="H162" i="1"/>
  <c r="F162" i="1"/>
  <c r="G162" i="1" s="1"/>
  <c r="E162" i="1"/>
  <c r="H161" i="1"/>
  <c r="F161" i="1"/>
  <c r="E161" i="1"/>
  <c r="H160" i="1"/>
  <c r="F160" i="1"/>
  <c r="G160" i="1" s="1"/>
  <c r="E160" i="1"/>
  <c r="I135" i="1"/>
  <c r="G135" i="1"/>
  <c r="H135" i="1" s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G127" i="1"/>
  <c r="H127" i="1" s="1"/>
  <c r="F127" i="1"/>
  <c r="F126" i="1" s="1"/>
  <c r="I126" i="1"/>
  <c r="G126" i="1"/>
  <c r="E126" i="1"/>
  <c r="D126" i="1"/>
  <c r="I125" i="1"/>
  <c r="G125" i="1"/>
  <c r="H125" i="1" s="1"/>
  <c r="F125" i="1"/>
  <c r="I124" i="1"/>
  <c r="G124" i="1"/>
  <c r="H124" i="1" s="1"/>
  <c r="F124" i="1"/>
  <c r="F121" i="1" s="1"/>
  <c r="F120" i="1" s="1"/>
  <c r="I123" i="1"/>
  <c r="I121" i="1" s="1"/>
  <c r="I120" i="1" s="1"/>
  <c r="H123" i="1"/>
  <c r="G123" i="1"/>
  <c r="G121" i="1" s="1"/>
  <c r="G120" i="1" s="1"/>
  <c r="F123" i="1"/>
  <c r="I122" i="1"/>
  <c r="G122" i="1"/>
  <c r="H122" i="1" s="1"/>
  <c r="F122" i="1"/>
  <c r="E121" i="1"/>
  <c r="E120" i="1" s="1"/>
  <c r="D121" i="1"/>
  <c r="D120" i="1" s="1"/>
  <c r="I119" i="1"/>
  <c r="G119" i="1"/>
  <c r="H119" i="1" s="1"/>
  <c r="F119" i="1"/>
  <c r="I118" i="1"/>
  <c r="G118" i="1"/>
  <c r="H118" i="1" s="1"/>
  <c r="F118" i="1"/>
  <c r="F115" i="1" s="1"/>
  <c r="I117" i="1"/>
  <c r="I115" i="1" s="1"/>
  <c r="I137" i="1" s="1"/>
  <c r="H117" i="1"/>
  <c r="G117" i="1"/>
  <c r="G115" i="1" s="1"/>
  <c r="G137" i="1" s="1"/>
  <c r="F117" i="1"/>
  <c r="I116" i="1"/>
  <c r="G116" i="1"/>
  <c r="H116" i="1" s="1"/>
  <c r="F116" i="1"/>
  <c r="E115" i="1"/>
  <c r="E137" i="1" s="1"/>
  <c r="D115" i="1"/>
  <c r="D137" i="1" s="1"/>
  <c r="C113" i="1"/>
  <c r="I93" i="1"/>
  <c r="H93" i="1"/>
  <c r="G93" i="1"/>
  <c r="F93" i="1"/>
  <c r="I92" i="1"/>
  <c r="G92" i="1"/>
  <c r="H92" i="1" s="1"/>
  <c r="F92" i="1"/>
  <c r="I91" i="1"/>
  <c r="H91" i="1"/>
  <c r="G91" i="1"/>
  <c r="F91" i="1"/>
  <c r="I90" i="1"/>
  <c r="H90" i="1"/>
  <c r="G90" i="1"/>
  <c r="F90" i="1"/>
  <c r="I89" i="1"/>
  <c r="G89" i="1"/>
  <c r="H89" i="1" s="1"/>
  <c r="F89" i="1"/>
  <c r="I88" i="1"/>
  <c r="G88" i="1"/>
  <c r="H88" i="1" s="1"/>
  <c r="F88" i="1"/>
  <c r="I87" i="1"/>
  <c r="H87" i="1"/>
  <c r="G87" i="1"/>
  <c r="F87" i="1"/>
  <c r="I86" i="1"/>
  <c r="H86" i="1"/>
  <c r="G86" i="1"/>
  <c r="F86" i="1"/>
  <c r="I85" i="1"/>
  <c r="G85" i="1"/>
  <c r="H85" i="1" s="1"/>
  <c r="F85" i="1"/>
  <c r="F83" i="1" s="1"/>
  <c r="F82" i="1" s="1"/>
  <c r="I84" i="1"/>
  <c r="I83" i="1" s="1"/>
  <c r="I82" i="1" s="1"/>
  <c r="I94" i="1" s="1"/>
  <c r="H84" i="1"/>
  <c r="G84" i="1"/>
  <c r="G83" i="1" s="1"/>
  <c r="G82" i="1" s="1"/>
  <c r="F84" i="1"/>
  <c r="E83" i="1"/>
  <c r="D83" i="1"/>
  <c r="E82" i="1"/>
  <c r="D82" i="1"/>
  <c r="I81" i="1"/>
  <c r="H81" i="1"/>
  <c r="G81" i="1"/>
  <c r="F81" i="1"/>
  <c r="I80" i="1"/>
  <c r="H80" i="1"/>
  <c r="G80" i="1"/>
  <c r="F80" i="1"/>
  <c r="I79" i="1"/>
  <c r="H79" i="1"/>
  <c r="G79" i="1"/>
  <c r="G94" i="1" s="1"/>
  <c r="F79" i="1"/>
  <c r="F94" i="1" s="1"/>
  <c r="E79" i="1"/>
  <c r="E94" i="1" s="1"/>
  <c r="D79" i="1"/>
  <c r="D94" i="1" s="1"/>
  <c r="C76" i="1"/>
  <c r="H72" i="1"/>
  <c r="F72" i="1"/>
  <c r="D72" i="1"/>
  <c r="H58" i="1"/>
  <c r="H57" i="1"/>
  <c r="I52" i="1"/>
  <c r="G52" i="1"/>
  <c r="G31" i="1" s="1"/>
  <c r="H31" i="1" s="1"/>
  <c r="F52" i="1"/>
  <c r="F31" i="1" s="1"/>
  <c r="I41" i="1"/>
  <c r="H41" i="1"/>
  <c r="G41" i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I33" i="1" s="1"/>
  <c r="I25" i="1" s="1"/>
  <c r="H35" i="1"/>
  <c r="G35" i="1"/>
  <c r="F35" i="1"/>
  <c r="I34" i="1"/>
  <c r="H34" i="1"/>
  <c r="G34" i="1"/>
  <c r="F34" i="1"/>
  <c r="G33" i="1"/>
  <c r="F33" i="1"/>
  <c r="E33" i="1"/>
  <c r="H33" i="1" s="1"/>
  <c r="D33" i="1"/>
  <c r="I32" i="1"/>
  <c r="H32" i="1"/>
  <c r="G32" i="1"/>
  <c r="F32" i="1"/>
  <c r="I31" i="1"/>
  <c r="I30" i="1"/>
  <c r="G30" i="1"/>
  <c r="H30" i="1" s="1"/>
  <c r="F30" i="1"/>
  <c r="I29" i="1"/>
  <c r="I26" i="1" s="1"/>
  <c r="G29" i="1"/>
  <c r="H29" i="1" s="1"/>
  <c r="F29" i="1"/>
  <c r="F26" i="1" s="1"/>
  <c r="I28" i="1"/>
  <c r="H28" i="1"/>
  <c r="G28" i="1"/>
  <c r="F28" i="1"/>
  <c r="I27" i="1"/>
  <c r="H27" i="1"/>
  <c r="G27" i="1"/>
  <c r="F27" i="1"/>
  <c r="E26" i="1"/>
  <c r="E25" i="1" s="1"/>
  <c r="E42" i="1" s="1"/>
  <c r="D26" i="1"/>
  <c r="D25" i="1" s="1"/>
  <c r="I24" i="1"/>
  <c r="G24" i="1"/>
  <c r="G22" i="1" s="1"/>
  <c r="F24" i="1"/>
  <c r="F22" i="1" s="1"/>
  <c r="I23" i="1"/>
  <c r="I22" i="1" s="1"/>
  <c r="G23" i="1"/>
  <c r="H23" i="1" s="1"/>
  <c r="F23" i="1"/>
  <c r="E22" i="1"/>
  <c r="D22" i="1"/>
  <c r="D42" i="1" s="1"/>
  <c r="H16" i="1"/>
  <c r="F16" i="1"/>
  <c r="D16" i="1"/>
  <c r="H26" i="1" l="1"/>
  <c r="G324" i="1"/>
  <c r="E304" i="1"/>
  <c r="H25" i="1"/>
  <c r="F25" i="1"/>
  <c r="F42" i="1" s="1"/>
  <c r="H115" i="1"/>
  <c r="E169" i="1"/>
  <c r="I42" i="1"/>
  <c r="H121" i="1"/>
  <c r="H169" i="1"/>
  <c r="H83" i="1"/>
  <c r="H82" i="1" s="1"/>
  <c r="H94" i="1" s="1"/>
  <c r="H126" i="1"/>
  <c r="H262" i="1"/>
  <c r="H273" i="1" s="1"/>
  <c r="I273" i="1"/>
  <c r="F137" i="1"/>
  <c r="H24" i="1"/>
  <c r="H22" i="1" s="1"/>
  <c r="H52" i="1"/>
  <c r="F169" i="1"/>
  <c r="G169" i="1" s="1"/>
  <c r="F304" i="1"/>
  <c r="G304" i="1" s="1"/>
  <c r="F324" i="1"/>
  <c r="G192" i="1"/>
  <c r="H192" i="1" s="1"/>
  <c r="G262" i="1"/>
  <c r="G273" i="1" s="1"/>
  <c r="G26" i="1"/>
  <c r="G25" i="1" s="1"/>
  <c r="G42" i="1" s="1"/>
  <c r="H42" i="1" l="1"/>
  <c r="H120" i="1"/>
  <c r="H137" i="1" s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<sst xmlns="http://schemas.openxmlformats.org/spreadsheetml/2006/main" count="393" uniqueCount="167">
  <si>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</si>
  <si>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</si>
  <si>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</si>
  <si>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</si>
  <si>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</si>
  <si>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</si>
  <si>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</si>
  <si>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</si>
  <si>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</si>
  <si>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</si>
  <si>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</si>
  <si>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</si>
  <si>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</si>
  <si>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</si>
  <si>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</si>
  <si>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</si>
  <si>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</si>
  <si>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</si>
  <si>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</si>
  <si>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</si>
  <si>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</si>
  <si>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</si>
  <si>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</si>
  <si>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</si>
  <si>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</si>
  <si>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</si>
  <si>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</si>
  <si>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</si>
  <si>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</si>
  <si>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</si>
  <si>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</si>
  <si>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</si>
  <si>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</si>
  <si>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</si>
  <si>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</si>
  <si>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</si>
  <si>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</si>
  <si>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</si>
  <si>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</si>
  <si>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</si>
  <si>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</si>
  <si>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</si>
  <si>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</si>
  <si>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</si>
  <si>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</si>
  <si>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</si>
  <si>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</si>
  <si>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</si>
  <si>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</si>
  <si>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</si>
  <si>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</si>
  <si>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</si>
  <si>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</si>
  <si>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</si>
  <si>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</si>
  <si>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</si>
  <si>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</si>
  <si>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</si>
  <si>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</si>
  <si>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</si>
  <si>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</si>
  <si>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</si>
  <si>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</si>
  <si>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</si>
  <si>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</si>
  <si>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</si>
  <si>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</si>
  <si>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</si>
  <si>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</si>
  <si>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</si>
  <si>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</si>
  <si>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</si>
  <si>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</si>
  <si>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</si>
  <si>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</si>
  <si>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</si>
  <si>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</si>
  <si>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</si>
  <si>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</si>
  <si>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</si>
  <si>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</si>
  <si>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</si>
  <si>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</si>
  <si>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</si>
  <si>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</si>
  <si>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</si>
  <si>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</si>
  <si>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</si>
  <si>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</si>
  <si>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</si>
  <si>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</si>
  <si>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</si>
  <si>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</si>
  <si>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</si>
  <si>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</si>
  <si>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</si>
  <si>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</si>
  <si>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</si>
  <si>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</si>
  <si>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</si>
  <si>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</si>
  <si>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</si>
  <si>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</si>
  <si>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</si>
  <si>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</si>
  <si>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</si>
  <si>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</si>
  <si>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</si>
  <si>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</si>
  <si>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</si>
  <si>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</si>
  <si>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</si>
  <si>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</si>
  <si>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</si>
  <si>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</si>
  <si>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</si>
  <si>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</si>
  <si>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</si>
  <si>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</si>
  <si>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</si>
  <si>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</si>
  <si>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</si>
  <si>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</si>
  <si>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</si>
  <si>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</si>
  <si>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</si>
  <si>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</si>
  <si>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</si>
  <si>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</si>
  <si>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</si>
  <si>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x tonn sei med konvensjonelle redskap som belastes notkvoten.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</si>
  <si>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</si>
  <si>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</si>
  <si>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</si>
  <si>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</si>
  <si>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</si>
  <si>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</si>
  <si>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</si>
  <si>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</si>
  <si>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</si>
  <si>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</si>
  <si>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</si>
  <si>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</si>
  <si>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</si>
  <si>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</si>
  <si>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</si>
  <si>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</si>
  <si>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</si>
  <si>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</si>
  <si>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</si>
  <si>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</si>
  <si>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</si>
  <si>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</si>
  <si>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</si>
  <si>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</si>
  <si>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</si>
  <si>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</si>
  <si>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</si>
  <si>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</si>
  <si>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t>2 Registrert rekreasjonsfiske utgjør 44 tonn, men det legges til grunn at hele avsetningen tas</t>
  </si>
  <si>
    <t>4 Registrert rekreasjonsfiske utgjør 311 tonn, men det legges til grunn at hele avsetningen tas</t>
  </si>
  <si>
    <t>3 Registrert rekreasjonsfiske utgjør 670 tonn, men det legges til grunn at hele avsetningen tas</t>
  </si>
  <si>
    <t>FANGST UKE 31</t>
  </si>
  <si>
    <t>FANGST T.O.M UKE 31</t>
  </si>
  <si>
    <t>RESTKVOTER UKE 31</t>
  </si>
  <si>
    <t>FANGST T.O.M UKE 31 2024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</si>
  <si>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kystfiskeordningen baseres på beregninger fra Norges Råfisklag. På grunn av teknisk omlegging, foreligger det foreløpig ikke tall for ferskfiskordningen.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</si>
</sst>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view="pageLayout" zoomScale="85" zoomScaleNormal="55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13" t="s">
        <v>122</v>
      </c>
      <c r="C2" s="314"/>
      <c r="D2" s="314"/>
      <c r="E2" s="314"/>
      <c r="F2" s="314"/>
      <c r="G2" s="314"/>
      <c r="H2" s="314"/>
      <c r="I2" s="314"/>
      <c r="J2" s="315"/>
    </row>
    <row r="3" spans="1:10" ht="14.85" customHeight="1" x14ac:dyDescent="0.25">
      <c r="A3" s="1"/>
      <c r="B3" s="1"/>
      <c r="C3" s="1" t="s">
        <v>111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2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" customHeight="1" x14ac:dyDescent="0.2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25">
      <c r="A13" s="1"/>
      <c r="B13" s="277"/>
      <c r="C13" s="110" t="s">
        <v>82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2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25">
      <c r="A15" s="1"/>
      <c r="B15" s="277"/>
      <c r="C15" s="110" t="s">
        <v>72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" customHeight="1" x14ac:dyDescent="0.2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25">
      <c r="A17" s="101"/>
      <c r="B17" s="24"/>
      <c r="C17" s="325" t="s">
        <v>143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2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2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2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" customHeight="1" x14ac:dyDescent="0.2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0</v>
      </c>
      <c r="G22" s="27">
        <f t="shared" si="0"/>
        <v>20861.653249999999</v>
      </c>
      <c r="H22" s="10">
        <f t="shared" si="0"/>
        <v>20724.346750000001</v>
      </c>
      <c r="I22" s="10">
        <f t="shared" si="0"/>
        <v>37909.353009999999</v>
      </c>
      <c r="J22" s="267"/>
    </row>
    <row r="23" spans="1:10" ht="14.1" customHeight="1" x14ac:dyDescent="0.25">
      <c r="A23" s="1"/>
      <c r="B23" s="277"/>
      <c r="C23" s="43" t="s">
        <v>20</v>
      </c>
      <c r="D23" s="44">
        <v>38040</v>
      </c>
      <c r="E23" s="44">
        <v>40823</v>
      </c>
      <c r="F23" s="22">
        <f>0</f>
        <v>0</v>
      </c>
      <c r="G23" s="22">
        <f>20491.1936</f>
        <v>20491.193599999999</v>
      </c>
      <c r="H23" s="22">
        <f>E23-G23</f>
        <v>20331.806400000001</v>
      </c>
      <c r="I23" s="22">
        <f>37389.66493</f>
        <v>37389.664929999999</v>
      </c>
      <c r="J23" s="267"/>
    </row>
    <row r="24" spans="1:10" ht="14.1" customHeight="1" x14ac:dyDescent="0.25">
      <c r="A24" s="1"/>
      <c r="B24" s="277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370.45965</f>
        <v>370.45965000000001</v>
      </c>
      <c r="H24" s="22">
        <f>E24-G24</f>
        <v>392.54034999999999</v>
      </c>
      <c r="I24" s="22">
        <f>519.68808</f>
        <v>519.68808000000001</v>
      </c>
      <c r="J24" s="267"/>
    </row>
    <row r="25" spans="1:10" ht="14.1" customHeight="1" x14ac:dyDescent="0.2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541.54417999999998</v>
      </c>
      <c r="G25" s="10">
        <f t="shared" si="1"/>
        <v>102007.06111</v>
      </c>
      <c r="H25" s="10">
        <f t="shared" si="1"/>
        <v>19660.938890000001</v>
      </c>
      <c r="I25" s="10">
        <f t="shared" si="1"/>
        <v>123804.9262</v>
      </c>
      <c r="J25" s="267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485.05494999999996</v>
      </c>
      <c r="G26" s="129">
        <f>G27+G28+G29+G30+G31</f>
        <v>79855.060219999999</v>
      </c>
      <c r="H26" s="129">
        <f t="shared" ref="H26:I26" si="2">H27+H28+H29+H30+H31</f>
        <v>15037.939780000001</v>
      </c>
      <c r="I26" s="129">
        <f t="shared" si="2"/>
        <v>98625.058730000004</v>
      </c>
      <c r="J26" s="267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61">
        <v>25153</v>
      </c>
      <c r="F27" s="209">
        <f>59.95757 - F55</f>
        <v>59.957569999999997</v>
      </c>
      <c r="G27" s="123">
        <f>22743.58476 - G55</f>
        <v>22743.584760000002</v>
      </c>
      <c r="H27" s="123">
        <f t="shared" ref="H27:H39" si="3">E27-G27</f>
        <v>2409.4152399999984</v>
      </c>
      <c r="I27" s="123">
        <f>25947.03874 - I55</f>
        <v>25947.03874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61">
        <v>23994</v>
      </c>
      <c r="F28" s="123">
        <f>122.54195 - F56</f>
        <v>122.54195</v>
      </c>
      <c r="G28" s="123">
        <f>22327.44429 - G56</f>
        <v>22327.444289999999</v>
      </c>
      <c r="H28" s="123">
        <f t="shared" si="3"/>
        <v>1666.5557100000005</v>
      </c>
      <c r="I28" s="123">
        <f>27441.66572 - I56</f>
        <v>27441.665720000001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61">
        <v>21870</v>
      </c>
      <c r="F29" s="123">
        <f>135.62703 - F57</f>
        <v>135.62702999999999</v>
      </c>
      <c r="G29" s="123">
        <f>21425.90487 - G57</f>
        <v>21425.904869999998</v>
      </c>
      <c r="H29" s="123">
        <f t="shared" si="3"/>
        <v>444.09513000000152</v>
      </c>
      <c r="I29" s="123">
        <f>26044.41543 - I57</f>
        <v>26044.415430000001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61">
        <v>15645</v>
      </c>
      <c r="F30" s="123">
        <f>166.9284 - F58</f>
        <v>166.92840000000001</v>
      </c>
      <c r="G30" s="123">
        <f>15340.1263 - G58</f>
        <v>13358.1263</v>
      </c>
      <c r="H30" s="123">
        <f t="shared" si="3"/>
        <v>2286.8737000000001</v>
      </c>
      <c r="I30" s="123">
        <f>19191.93884 - I58</f>
        <v>19191.938839999999</v>
      </c>
      <c r="J30" s="63"/>
    </row>
    <row r="31" spans="1:10" ht="14.1" customHeight="1" x14ac:dyDescent="0.2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" customHeight="1" x14ac:dyDescent="0.25">
      <c r="A32" s="64"/>
      <c r="B32" s="51"/>
      <c r="C32" s="54" t="s">
        <v>29</v>
      </c>
      <c r="D32" s="55">
        <v>12692</v>
      </c>
      <c r="E32" s="55">
        <v>13679</v>
      </c>
      <c r="F32" s="129">
        <f>0.09787</f>
        <v>9.7869999999999999E-2</v>
      </c>
      <c r="G32" s="129">
        <f>9073.08719</f>
        <v>9073.0871900000002</v>
      </c>
      <c r="H32" s="129">
        <f t="shared" si="3"/>
        <v>4605.9128099999998</v>
      </c>
      <c r="I32" s="129">
        <f>10654.87672</f>
        <v>10654.87672</v>
      </c>
      <c r="J32" s="63"/>
    </row>
    <row r="33" spans="1:10" ht="14.1" customHeight="1" x14ac:dyDescent="0.2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56.391359999999999</v>
      </c>
      <c r="G33" s="129">
        <f>G34+G35</f>
        <v>13078.913699999999</v>
      </c>
      <c r="H33" s="129">
        <f t="shared" si="3"/>
        <v>17.086300000000847</v>
      </c>
      <c r="I33" s="129">
        <f>I34+I35</f>
        <v>14524.990750000001</v>
      </c>
      <c r="J33" s="63"/>
    </row>
    <row r="34" spans="1:10" ht="14.1" customHeight="1" x14ac:dyDescent="0.25">
      <c r="A34" s="192"/>
      <c r="B34" s="176"/>
      <c r="C34" s="60" t="s">
        <v>31</v>
      </c>
      <c r="D34" s="61">
        <v>9874</v>
      </c>
      <c r="E34" s="61">
        <v>12136</v>
      </c>
      <c r="F34" s="123">
        <f>56.39136 - F59 - F60</f>
        <v>56.391359999999999</v>
      </c>
      <c r="G34" s="129">
        <f>13078.9137 - G59 - G60</f>
        <v>13078.913699999999</v>
      </c>
      <c r="H34" s="123">
        <f t="shared" si="3"/>
        <v>-942.91369999999915</v>
      </c>
      <c r="I34" s="123">
        <f>14524.99075 - I59 - I60</f>
        <v>14524.990750000001</v>
      </c>
      <c r="J34" s="63"/>
    </row>
    <row r="35" spans="1:10" ht="14.1" customHeight="1" x14ac:dyDescent="0.25">
      <c r="A35" s="192"/>
      <c r="B35" s="176"/>
      <c r="C35" s="66" t="s">
        <v>32</v>
      </c>
      <c r="D35" s="220">
        <v>960</v>
      </c>
      <c r="E35" s="220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25">
      <c r="A36" s="1"/>
      <c r="B36" s="277"/>
      <c r="C36" s="70" t="s">
        <v>33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" customHeight="1" x14ac:dyDescent="0.25">
      <c r="A37" s="1"/>
      <c r="B37" s="277"/>
      <c r="C37" s="70" t="s">
        <v>34</v>
      </c>
      <c r="D37" s="140">
        <v>855</v>
      </c>
      <c r="E37" s="140">
        <v>855</v>
      </c>
      <c r="F37" s="95">
        <f>1.5</f>
        <v>1.5</v>
      </c>
      <c r="G37" s="95">
        <f>556.51145</f>
        <v>556.51144999999997</v>
      </c>
      <c r="H37" s="95">
        <f t="shared" si="3"/>
        <v>298.48855000000003</v>
      </c>
      <c r="I37" s="95">
        <f>469.77895</f>
        <v>469.77895000000001</v>
      </c>
      <c r="J37" s="267"/>
    </row>
    <row r="38" spans="1:10" ht="17.25" customHeight="1" x14ac:dyDescent="0.25">
      <c r="A38" s="1"/>
      <c r="B38" s="277"/>
      <c r="C38" s="70" t="s">
        <v>35</v>
      </c>
      <c r="D38" s="140">
        <v>3000</v>
      </c>
      <c r="E38" s="140">
        <v>3000</v>
      </c>
      <c r="F38" s="95">
        <f>F58</f>
        <v>0</v>
      </c>
      <c r="G38" s="95">
        <f>G58</f>
        <v>1982</v>
      </c>
      <c r="H38" s="95">
        <f t="shared" si="3"/>
        <v>1018</v>
      </c>
      <c r="I38" s="95">
        <f>I58</f>
        <v>0</v>
      </c>
      <c r="J38" s="267"/>
    </row>
    <row r="39" spans="1:10" ht="17.25" customHeight="1" x14ac:dyDescent="0.25">
      <c r="A39" s="1"/>
      <c r="B39" s="277"/>
      <c r="C39" s="70" t="s">
        <v>36</v>
      </c>
      <c r="D39" s="140">
        <v>7000</v>
      </c>
      <c r="E39" s="140">
        <v>7000</v>
      </c>
      <c r="F39" s="95">
        <f>12.45467</f>
        <v>12.45467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25">
      <c r="A40" s="1"/>
      <c r="B40" s="277"/>
      <c r="C40" s="70" t="s">
        <v>38</v>
      </c>
      <c r="D40" s="140">
        <v>450</v>
      </c>
      <c r="E40" s="140">
        <v>450</v>
      </c>
      <c r="F40" s="95">
        <f>4.36128</f>
        <v>4.3612799999999998</v>
      </c>
      <c r="G40" s="95">
        <f>375.17676</f>
        <v>375.17676</v>
      </c>
      <c r="H40" s="95">
        <f>E40-G40</f>
        <v>74.823239999999998</v>
      </c>
      <c r="I40" s="95">
        <f>327.06701</f>
        <v>327.06700999999998</v>
      </c>
      <c r="J40" s="267"/>
    </row>
    <row r="41" spans="1:10" ht="14.1" customHeight="1" x14ac:dyDescent="0.25">
      <c r="A41" s="1"/>
      <c r="B41" s="277"/>
      <c r="C41" s="70" t="s">
        <v>39</v>
      </c>
      <c r="D41" s="140"/>
      <c r="E41" s="136"/>
      <c r="F41" s="136">
        <f>0.003</f>
        <v>3.0000000000000001E-3</v>
      </c>
      <c r="G41" s="136">
        <f>93.45163</f>
        <v>93.451629999999994</v>
      </c>
      <c r="H41" s="136">
        <f t="shared" ref="H41" si="4">E41-G41</f>
        <v>-93.451629999999994</v>
      </c>
      <c r="I41" s="136">
        <f>85.43626</f>
        <v>85.436260000000004</v>
      </c>
      <c r="J41" s="267"/>
    </row>
    <row r="42" spans="1:10" ht="16.5" customHeight="1" x14ac:dyDescent="0.25">
      <c r="A42" s="1"/>
      <c r="B42" s="277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559.86312999999996</v>
      </c>
      <c r="G42" s="73">
        <f t="shared" si="5"/>
        <v>133156.11059999999</v>
      </c>
      <c r="H42" s="73">
        <f t="shared" si="5"/>
        <v>42402.8894</v>
      </c>
      <c r="I42" s="73">
        <f t="shared" si="5"/>
        <v>169944.92263000002</v>
      </c>
      <c r="J42" s="267"/>
    </row>
    <row r="43" spans="1:10" ht="14.1" customHeight="1" x14ac:dyDescent="0.25">
      <c r="A43" s="101"/>
      <c r="B43" s="24"/>
      <c r="C43" s="74" t="s">
        <v>123</v>
      </c>
      <c r="D43" s="216"/>
      <c r="E43" s="216"/>
      <c r="F43" s="76"/>
      <c r="G43" s="76"/>
      <c r="H43" s="251"/>
      <c r="I43" s="251"/>
      <c r="J43" s="77"/>
    </row>
    <row r="44" spans="1:10" ht="14.1" customHeight="1" x14ac:dyDescent="0.25">
      <c r="A44" s="101"/>
      <c r="B44" s="24"/>
      <c r="C44" s="78" t="s">
        <v>166</v>
      </c>
      <c r="D44" s="216"/>
      <c r="E44" s="216"/>
      <c r="F44" s="216"/>
      <c r="G44" s="76"/>
      <c r="H44" s="173"/>
      <c r="I44" s="173"/>
      <c r="J44" s="267"/>
    </row>
    <row r="45" spans="1:10" ht="14.1" customHeight="1" x14ac:dyDescent="0.2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139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41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25">
      <c r="A49" s="101"/>
      <c r="B49" s="24"/>
      <c r="C49" s="328" t="s">
        <v>42</v>
      </c>
      <c r="D49" s="328"/>
      <c r="E49" s="328"/>
      <c r="F49" s="328"/>
      <c r="G49" s="328"/>
      <c r="H49" s="328"/>
      <c r="I49" s="80"/>
      <c r="J49" s="81"/>
    </row>
    <row r="50" spans="1:10" ht="15.9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43</v>
      </c>
      <c r="E51" s="68" t="s">
        <v>120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" customHeight="1" x14ac:dyDescent="0.25">
      <c r="A52" s="101"/>
      <c r="B52" s="24"/>
      <c r="C52" s="15" t="s">
        <v>44</v>
      </c>
      <c r="D52" s="329">
        <v>7872</v>
      </c>
      <c r="E52" s="329">
        <v>8231</v>
      </c>
      <c r="F52" s="10">
        <f>F56+F55+F54+F53</f>
        <v>0</v>
      </c>
      <c r="G52" s="10">
        <f>G56+G55+G54+G53</f>
        <v>0</v>
      </c>
      <c r="H52" s="329">
        <f>E52-G52</f>
        <v>8231</v>
      </c>
      <c r="I52" s="10">
        <f>I56+I55+I54+I53</f>
        <v>0</v>
      </c>
      <c r="J52" s="117"/>
    </row>
    <row r="53" spans="1:10" ht="14.1" customHeight="1" x14ac:dyDescent="0.25">
      <c r="A53" s="101"/>
      <c r="B53" s="24"/>
      <c r="C53" s="60" t="s">
        <v>24</v>
      </c>
      <c r="D53" s="330"/>
      <c r="E53" s="330"/>
      <c r="F53" s="123"/>
      <c r="G53" s="123"/>
      <c r="H53" s="330"/>
      <c r="I53" s="123"/>
      <c r="J53" s="117"/>
    </row>
    <row r="54" spans="1:10" ht="14.1" customHeight="1" x14ac:dyDescent="0.25">
      <c r="A54" s="101"/>
      <c r="B54" s="24"/>
      <c r="C54" s="60" t="s">
        <v>25</v>
      </c>
      <c r="D54" s="330"/>
      <c r="E54" s="330"/>
      <c r="F54" s="123"/>
      <c r="G54" s="123"/>
      <c r="H54" s="330"/>
      <c r="I54" s="123"/>
      <c r="J54" s="267"/>
    </row>
    <row r="55" spans="1:10" ht="14.1" customHeight="1" x14ac:dyDescent="0.25">
      <c r="A55" s="101"/>
      <c r="B55" s="24"/>
      <c r="C55" s="60" t="s">
        <v>26</v>
      </c>
      <c r="D55" s="330"/>
      <c r="E55" s="330"/>
      <c r="F55" s="123"/>
      <c r="G55" s="123"/>
      <c r="H55" s="330"/>
      <c r="I55" s="123"/>
      <c r="J55" s="117"/>
    </row>
    <row r="56" spans="1:10" ht="14.1" customHeight="1" x14ac:dyDescent="0.25">
      <c r="A56" s="101"/>
      <c r="B56" s="24"/>
      <c r="C56" s="84" t="s">
        <v>27</v>
      </c>
      <c r="D56" s="331"/>
      <c r="E56" s="331"/>
      <c r="F56" s="186"/>
      <c r="G56" s="186"/>
      <c r="H56" s="331"/>
      <c r="I56" s="186"/>
      <c r="J56" s="117"/>
    </row>
    <row r="57" spans="1:10" ht="14.1" customHeight="1" x14ac:dyDescent="0.25">
      <c r="A57" s="101"/>
      <c r="B57" s="24"/>
      <c r="C57" s="85" t="s">
        <v>45</v>
      </c>
      <c r="D57" s="92">
        <v>960</v>
      </c>
      <c r="E57" s="92">
        <v>960</v>
      </c>
      <c r="F57" s="92"/>
      <c r="G57" s="92"/>
      <c r="H57" s="92">
        <f>E57-G57</f>
        <v>960</v>
      </c>
      <c r="I57" s="92"/>
      <c r="J57" s="267"/>
    </row>
    <row r="58" spans="1:10" ht="14.1" customHeight="1" x14ac:dyDescent="0.25">
      <c r="A58" s="101"/>
      <c r="B58" s="24"/>
      <c r="C58" s="139" t="s">
        <v>46</v>
      </c>
      <c r="D58" s="136">
        <v>3000</v>
      </c>
      <c r="E58" s="136">
        <v>3000</v>
      </c>
      <c r="F58" s="136"/>
      <c r="G58" s="136">
        <v>1982</v>
      </c>
      <c r="H58" s="136">
        <f>E58-G58</f>
        <v>1018</v>
      </c>
      <c r="I58" s="136"/>
      <c r="J58" s="117"/>
    </row>
    <row r="59" spans="1:10" ht="14.1" customHeight="1" x14ac:dyDescent="0.25">
      <c r="A59" s="101"/>
      <c r="B59" s="24"/>
      <c r="C59" s="74" t="s">
        <v>124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47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25">
      <c r="B69" s="277"/>
      <c r="C69" s="110" t="s">
        <v>142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2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" customHeight="1" x14ac:dyDescent="0.25">
      <c r="B71" s="277"/>
      <c r="C71" s="110" t="s">
        <v>72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25">
      <c r="B72" s="277"/>
      <c r="C72" s="172" t="s">
        <v>48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25">
      <c r="A73" s="1"/>
      <c r="B73" s="277"/>
      <c r="C73" s="101" t="s">
        <v>144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2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" customHeight="1" x14ac:dyDescent="0.2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2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25">
      <c r="A78" s="1"/>
      <c r="B78" s="277"/>
      <c r="C78" s="14" t="s">
        <v>16</v>
      </c>
      <c r="D78" s="113" t="s">
        <v>17</v>
      </c>
      <c r="E78" s="14" t="s">
        <v>49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" customHeight="1" x14ac:dyDescent="0.2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0</v>
      </c>
      <c r="G79" s="10">
        <f t="shared" si="6"/>
        <v>19585.89659</v>
      </c>
      <c r="H79" s="10">
        <f t="shared" si="6"/>
        <v>6555.1034099999997</v>
      </c>
      <c r="I79" s="10">
        <f t="shared" si="6"/>
        <v>23265.277679999999</v>
      </c>
      <c r="J79" s="267"/>
    </row>
    <row r="80" spans="1:10" ht="15" customHeight="1" x14ac:dyDescent="0.25">
      <c r="A80" s="1"/>
      <c r="B80" s="277"/>
      <c r="C80" s="43" t="s">
        <v>20</v>
      </c>
      <c r="D80" s="44">
        <v>24216</v>
      </c>
      <c r="E80" s="44">
        <v>25316</v>
      </c>
      <c r="F80" s="22">
        <f>0</f>
        <v>0</v>
      </c>
      <c r="G80" s="22">
        <f>19148.73357</f>
        <v>19148.73357</v>
      </c>
      <c r="H80" s="22">
        <f>E80-G80</f>
        <v>6167.2664299999997</v>
      </c>
      <c r="I80" s="22">
        <f>22487.04043</f>
        <v>22487.040430000001</v>
      </c>
      <c r="J80" s="267"/>
    </row>
    <row r="81" spans="1:10" ht="14.1" customHeight="1" x14ac:dyDescent="0.2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437.16302</f>
        <v>437.16302000000002</v>
      </c>
      <c r="H81" s="48">
        <f>E81-G81</f>
        <v>387.83697999999998</v>
      </c>
      <c r="I81" s="48">
        <f>778.23725</f>
        <v>778.23725000000002</v>
      </c>
      <c r="J81" s="267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764.9070200000001</v>
      </c>
      <c r="G82" s="10">
        <f t="shared" si="7"/>
        <v>28913.815190000001</v>
      </c>
      <c r="H82" s="10">
        <f t="shared" si="7"/>
        <v>15215.184810000001</v>
      </c>
      <c r="I82" s="10">
        <f t="shared" si="7"/>
        <v>35776.062739999994</v>
      </c>
      <c r="J82" s="267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751.17043000000012</v>
      </c>
      <c r="G83" s="129">
        <f t="shared" si="8"/>
        <v>23022.613310000001</v>
      </c>
      <c r="H83" s="129">
        <f t="shared" si="8"/>
        <v>9482.3866900000012</v>
      </c>
      <c r="I83" s="129">
        <f t="shared" si="8"/>
        <v>28624.671539999999</v>
      </c>
      <c r="J83" s="267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61">
        <v>9004</v>
      </c>
      <c r="F84" s="123">
        <f>28.11846</f>
        <v>28.118459999999999</v>
      </c>
      <c r="G84" s="123">
        <f>3052.51887</f>
        <v>3052.5188699999999</v>
      </c>
      <c r="H84" s="123">
        <f t="shared" ref="H84:H91" si="9">E84-G84</f>
        <v>5951.4811300000001</v>
      </c>
      <c r="I84" s="123">
        <f>4365.52084</f>
        <v>4365.5208400000001</v>
      </c>
      <c r="J84" s="267"/>
    </row>
    <row r="85" spans="1:10" ht="14.1" customHeight="1" x14ac:dyDescent="0.25">
      <c r="A85" s="192"/>
      <c r="B85" s="176"/>
      <c r="C85" s="60" t="s">
        <v>50</v>
      </c>
      <c r="D85" s="61">
        <v>8674</v>
      </c>
      <c r="E85" s="61">
        <v>9075</v>
      </c>
      <c r="F85" s="123">
        <f>271.21055</f>
        <v>271.21055000000001</v>
      </c>
      <c r="G85" s="123">
        <f>6081.67577</f>
        <v>6081.6757699999998</v>
      </c>
      <c r="H85" s="123">
        <f t="shared" si="9"/>
        <v>2993.3242300000002</v>
      </c>
      <c r="I85" s="123">
        <f>9406.12295</f>
        <v>9406.1229500000009</v>
      </c>
      <c r="J85" s="267"/>
    </row>
    <row r="86" spans="1:10" ht="14.1" customHeight="1" x14ac:dyDescent="0.25">
      <c r="A86" s="192"/>
      <c r="B86" s="176"/>
      <c r="C86" s="60" t="s">
        <v>51</v>
      </c>
      <c r="D86" s="61">
        <v>8266</v>
      </c>
      <c r="E86" s="61">
        <v>8649</v>
      </c>
      <c r="F86" s="123">
        <f>236.82924</f>
        <v>236.82924</v>
      </c>
      <c r="G86" s="123">
        <f>7332.08839</f>
        <v>7332.0883899999999</v>
      </c>
      <c r="H86" s="123">
        <f t="shared" si="9"/>
        <v>1316.9116100000001</v>
      </c>
      <c r="I86" s="123">
        <f>8948.95714</f>
        <v>8948.9571400000004</v>
      </c>
      <c r="J86" s="267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61">
        <v>5777</v>
      </c>
      <c r="F87" s="123">
        <f>215.01218</f>
        <v>215.01218</v>
      </c>
      <c r="G87" s="123">
        <f>6556.33028</f>
        <v>6556.3302800000001</v>
      </c>
      <c r="H87" s="123">
        <f t="shared" si="9"/>
        <v>-779.33028000000013</v>
      </c>
      <c r="I87" s="123">
        <f>5904.07061</f>
        <v>5904.0706099999998</v>
      </c>
      <c r="J87" s="267"/>
    </row>
    <row r="88" spans="1:10" ht="14.1" customHeight="1" x14ac:dyDescent="0.25">
      <c r="A88" s="192"/>
      <c r="B88" s="176"/>
      <c r="C88" s="54" t="s">
        <v>52</v>
      </c>
      <c r="D88" s="55">
        <v>7333</v>
      </c>
      <c r="E88" s="55">
        <v>8117</v>
      </c>
      <c r="F88" s="129">
        <f>0.05928</f>
        <v>5.9279999999999999E-2</v>
      </c>
      <c r="G88" s="129">
        <f>4615.51977</f>
        <v>4615.5197699999999</v>
      </c>
      <c r="H88" s="129">
        <f t="shared" si="9"/>
        <v>3501.4802300000001</v>
      </c>
      <c r="I88" s="129">
        <f>5200.78198</f>
        <v>5200.7819799999997</v>
      </c>
      <c r="J88" s="267"/>
    </row>
    <row r="89" spans="1:10" ht="15.75" customHeight="1" x14ac:dyDescent="0.25">
      <c r="A89" s="1"/>
      <c r="B89" s="51"/>
      <c r="C89" s="37" t="s">
        <v>11</v>
      </c>
      <c r="D89" s="59">
        <v>3158</v>
      </c>
      <c r="E89" s="59">
        <v>3507</v>
      </c>
      <c r="F89" s="72">
        <f>13.67731</f>
        <v>13.67731</v>
      </c>
      <c r="G89" s="72">
        <f>1275.68211</f>
        <v>1275.68211</v>
      </c>
      <c r="H89" s="72">
        <f t="shared" si="9"/>
        <v>2231.3178900000003</v>
      </c>
      <c r="I89" s="72">
        <f>1950.60922</f>
        <v>1950.6092200000001</v>
      </c>
      <c r="J89" s="267"/>
    </row>
    <row r="90" spans="1:10" ht="15.75" customHeight="1" x14ac:dyDescent="0.25">
      <c r="A90" s="1"/>
      <c r="B90" s="51"/>
      <c r="C90" s="70" t="s">
        <v>34</v>
      </c>
      <c r="D90" s="86">
        <v>319</v>
      </c>
      <c r="E90" s="86">
        <v>319</v>
      </c>
      <c r="F90" s="95">
        <f>0</f>
        <v>0</v>
      </c>
      <c r="G90" s="95">
        <f>29.07267</f>
        <v>29.072669999999999</v>
      </c>
      <c r="H90" s="95">
        <f t="shared" si="9"/>
        <v>289.92732999999998</v>
      </c>
      <c r="I90" s="95">
        <f>36.10176</f>
        <v>36.101759999999999</v>
      </c>
      <c r="J90" s="267"/>
    </row>
    <row r="91" spans="1:10" ht="18" customHeight="1" x14ac:dyDescent="0.25">
      <c r="A91" s="1"/>
      <c r="B91" s="277"/>
      <c r="C91" s="70" t="s">
        <v>53</v>
      </c>
      <c r="D91" s="140">
        <v>300</v>
      </c>
      <c r="E91" s="140">
        <v>300</v>
      </c>
      <c r="F91" s="136">
        <f>0.30947</f>
        <v>0.30947000000000002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25">
      <c r="A92" s="1"/>
      <c r="B92" s="277"/>
      <c r="C92" s="89" t="s">
        <v>38</v>
      </c>
      <c r="D92" s="140">
        <v>50</v>
      </c>
      <c r="E92" s="140">
        <v>50</v>
      </c>
      <c r="F92" s="95">
        <f>0.17538</f>
        <v>0.17538000000000001</v>
      </c>
      <c r="G92" s="95">
        <f>12.26586</f>
        <v>12.26586</v>
      </c>
      <c r="H92" s="136">
        <f>E92-G92</f>
        <v>37.734139999999996</v>
      </c>
      <c r="I92" s="95">
        <f>20.99886</f>
        <v>20.998860000000001</v>
      </c>
      <c r="J92" s="267"/>
    </row>
    <row r="93" spans="1:10" ht="18" customHeight="1" x14ac:dyDescent="0.25">
      <c r="A93" s="1"/>
      <c r="B93" s="277"/>
      <c r="C93" s="89" t="s">
        <v>54</v>
      </c>
      <c r="D93" s="140"/>
      <c r="E93" s="136"/>
      <c r="F93" s="136">
        <f>0</f>
        <v>0</v>
      </c>
      <c r="G93" s="136">
        <f>11.9004</f>
        <v>11.900399999999999</v>
      </c>
      <c r="H93" s="136">
        <f t="shared" ref="H93" si="10">E93-G93</f>
        <v>-11.900399999999999</v>
      </c>
      <c r="I93" s="136">
        <f>16.07232</f>
        <v>16.072320000000001</v>
      </c>
      <c r="J93" s="267"/>
    </row>
    <row r="94" spans="1:10" ht="16.5" customHeight="1" x14ac:dyDescent="0.25">
      <c r="A94" s="1"/>
      <c r="B94" s="277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765.39187000000015</v>
      </c>
      <c r="G94" s="73">
        <f t="shared" si="12"/>
        <v>48852.950709999997</v>
      </c>
      <c r="H94" s="73">
        <f t="shared" si="12"/>
        <v>22086.049290000003</v>
      </c>
      <c r="I94" s="73">
        <f t="shared" si="12"/>
        <v>59414.51335999999</v>
      </c>
      <c r="J94" s="267"/>
    </row>
    <row r="95" spans="1:10" ht="13.5" customHeight="1" x14ac:dyDescent="0.25">
      <c r="A95" s="1"/>
      <c r="B95" s="277"/>
      <c r="C95" s="74" t="s">
        <v>125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2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25">
      <c r="A97" s="1"/>
      <c r="B97" s="24"/>
      <c r="C97" s="156" t="s">
        <v>158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25">
      <c r="A98" s="1"/>
      <c r="B98" s="24"/>
      <c r="C98" s="251" t="s">
        <v>55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111</v>
      </c>
      <c r="D100" s="251"/>
      <c r="E100" s="251"/>
      <c r="F100" s="251"/>
      <c r="G100" s="251"/>
      <c r="H100" s="251"/>
      <c r="I100" s="101"/>
      <c r="J100" s="101" t="s">
        <v>111</v>
      </c>
    </row>
    <row r="101" spans="1:10" ht="14.25" customHeight="1" x14ac:dyDescent="0.25">
      <c r="A101" s="1"/>
      <c r="B101" s="101"/>
      <c r="C101" s="101" t="s">
        <v>111</v>
      </c>
      <c r="D101" s="101" t="s">
        <v>111</v>
      </c>
      <c r="E101" s="101"/>
      <c r="F101" s="101"/>
      <c r="G101" s="101"/>
      <c r="H101" s="101"/>
      <c r="I101" s="101"/>
      <c r="J101" s="101" t="s">
        <v>111</v>
      </c>
    </row>
    <row r="102" spans="1:10" ht="17.100000000000001" customHeight="1" x14ac:dyDescent="0.25">
      <c r="A102" s="223"/>
      <c r="B102" s="223"/>
      <c r="C102" s="233" t="s">
        <v>56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" customHeight="1" x14ac:dyDescent="0.2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" customHeight="1" x14ac:dyDescent="0.2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" customHeight="1" x14ac:dyDescent="0.25">
      <c r="A108" s="1"/>
      <c r="B108" s="277"/>
      <c r="C108" s="271" t="s">
        <v>57</v>
      </c>
      <c r="D108" s="114">
        <v>1650</v>
      </c>
      <c r="E108" s="110" t="s">
        <v>58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" customHeight="1" x14ac:dyDescent="0.25">
      <c r="A109" s="1"/>
      <c r="B109" s="149"/>
      <c r="C109" s="161"/>
      <c r="D109" s="185"/>
      <c r="E109" s="185" t="s">
        <v>59</v>
      </c>
      <c r="F109" s="114">
        <v>4267</v>
      </c>
      <c r="G109" s="110"/>
      <c r="H109" s="161"/>
      <c r="I109" s="173"/>
      <c r="J109" s="267"/>
    </row>
    <row r="110" spans="1:10" ht="12" customHeight="1" x14ac:dyDescent="0.25">
      <c r="A110" s="1"/>
      <c r="B110" s="277"/>
      <c r="C110" s="172" t="s">
        <v>48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25">
      <c r="A111" s="101"/>
      <c r="B111" s="24"/>
      <c r="C111" s="101" t="s">
        <v>126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2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86" t="s">
        <v>16</v>
      </c>
      <c r="D114" s="14" t="s">
        <v>17</v>
      </c>
      <c r="E114" s="14" t="s">
        <v>60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" customHeight="1" x14ac:dyDescent="0.25">
      <c r="A115" s="1"/>
      <c r="B115" s="277"/>
      <c r="C115" s="15" t="s">
        <v>61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0</v>
      </c>
      <c r="G115" s="10">
        <f t="shared" si="13"/>
        <v>32658.253199999999</v>
      </c>
      <c r="H115" s="10">
        <f t="shared" si="13"/>
        <v>38356.746799999994</v>
      </c>
      <c r="I115" s="10">
        <f t="shared" si="13"/>
        <v>40915.994319999998</v>
      </c>
      <c r="J115" s="267"/>
    </row>
    <row r="116" spans="1:10" ht="14.1" customHeight="1" x14ac:dyDescent="0.25">
      <c r="A116" s="1"/>
      <c r="B116" s="277"/>
      <c r="C116" s="43" t="s">
        <v>20</v>
      </c>
      <c r="D116" s="44">
        <v>51830</v>
      </c>
      <c r="E116" s="44">
        <v>56450</v>
      </c>
      <c r="F116" s="22">
        <f>0</f>
        <v>0</v>
      </c>
      <c r="G116" s="22">
        <f>29203.30871</f>
        <v>29203.308710000001</v>
      </c>
      <c r="H116" s="22">
        <f>E116-G116</f>
        <v>27246.691289999999</v>
      </c>
      <c r="I116" s="22">
        <f>36486.55402</f>
        <v>36486.554020000003</v>
      </c>
      <c r="J116" s="267"/>
    </row>
    <row r="117" spans="1:10" ht="15" customHeight="1" x14ac:dyDescent="0.2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3389.58689</f>
        <v>3389.58689</v>
      </c>
      <c r="H117" s="22">
        <f>E117-G117</f>
        <v>10675.41311</v>
      </c>
      <c r="I117" s="22">
        <f>4363.99015</f>
        <v>4363.9901499999996</v>
      </c>
      <c r="J117" s="267"/>
    </row>
    <row r="118" spans="1:10" ht="13.5" customHeight="1" x14ac:dyDescent="0.25">
      <c r="A118" s="1"/>
      <c r="B118" s="277"/>
      <c r="C118" s="47" t="s">
        <v>62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65.45015</f>
        <v>65.450149999999994</v>
      </c>
      <c r="J118" s="267"/>
    </row>
    <row r="119" spans="1:10" ht="14.25" customHeight="1" x14ac:dyDescent="0.25">
      <c r="A119" s="65"/>
      <c r="B119" s="75"/>
      <c r="C119" s="85" t="s">
        <v>63</v>
      </c>
      <c r="D119" s="87">
        <v>43775</v>
      </c>
      <c r="E119" s="87">
        <v>51430</v>
      </c>
      <c r="F119" s="92">
        <f>191.172</f>
        <v>191.172</v>
      </c>
      <c r="G119" s="92">
        <f>25910.5391</f>
        <v>25910.539100000002</v>
      </c>
      <c r="H119" s="92">
        <f>E119-G119</f>
        <v>25519.460899999998</v>
      </c>
      <c r="I119" s="92">
        <f>11145.803</f>
        <v>11145.803</v>
      </c>
      <c r="J119" s="111"/>
    </row>
    <row r="120" spans="1:10" ht="15.75" customHeight="1" x14ac:dyDescent="0.2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390.91618000000005</v>
      </c>
      <c r="G120" s="91">
        <f t="shared" ref="G120" si="14">G121+G126+G129</f>
        <v>39485.482940000002</v>
      </c>
      <c r="H120" s="91">
        <f>H121+H126+H129</f>
        <v>35559.517059999998</v>
      </c>
      <c r="I120" s="91">
        <f>I121+I126+I129</f>
        <v>53709.707259999996</v>
      </c>
      <c r="J120" s="117"/>
    </row>
    <row r="121" spans="1:10" ht="14.1" customHeight="1" x14ac:dyDescent="0.25">
      <c r="A121" s="1"/>
      <c r="B121" s="50"/>
      <c r="C121" s="118" t="s">
        <v>64</v>
      </c>
      <c r="D121" s="119">
        <f>D122+D123+D124+D125</f>
        <v>51362</v>
      </c>
      <c r="E121" s="119">
        <f>E122+E123+E124+E125</f>
        <v>56359</v>
      </c>
      <c r="F121" s="121">
        <f>F122+F123+F124+F125</f>
        <v>308.74286000000001</v>
      </c>
      <c r="G121" s="121">
        <f>G122+G123+G125+G124</f>
        <v>29660.734410000001</v>
      </c>
      <c r="H121" s="121">
        <f>H122+H123+H124+H125</f>
        <v>26698.265590000003</v>
      </c>
      <c r="I121" s="121">
        <f>I122+I123+I124+I125</f>
        <v>40496.542459999997</v>
      </c>
      <c r="J121" s="301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16016</v>
      </c>
      <c r="F122" s="123">
        <f>77.83498</f>
        <v>77.834980000000002</v>
      </c>
      <c r="G122" s="123">
        <f>6663.15207</f>
        <v>6663.1520700000001</v>
      </c>
      <c r="H122" s="123">
        <f>E122-G122</f>
        <v>9352.8479299999999</v>
      </c>
      <c r="I122" s="123">
        <f>7515.98572</f>
        <v>7515.9857199999997</v>
      </c>
      <c r="J122" s="125"/>
    </row>
    <row r="123" spans="1:10" ht="14.1" customHeight="1" x14ac:dyDescent="0.25">
      <c r="A123" s="192"/>
      <c r="B123" s="176"/>
      <c r="C123" s="60" t="s">
        <v>50</v>
      </c>
      <c r="D123" s="61">
        <v>14094</v>
      </c>
      <c r="E123" s="61">
        <v>14854</v>
      </c>
      <c r="F123" s="123">
        <f>55.52387</f>
        <v>55.523870000000002</v>
      </c>
      <c r="G123" s="123">
        <f>8324.77439</f>
        <v>8324.7743900000005</v>
      </c>
      <c r="H123" s="123">
        <f>E123-G123</f>
        <v>6529.2256099999995</v>
      </c>
      <c r="I123" s="123">
        <f>11050.38635</f>
        <v>11050.386350000001</v>
      </c>
      <c r="J123" s="126"/>
    </row>
    <row r="124" spans="1:10" ht="14.1" customHeight="1" x14ac:dyDescent="0.25">
      <c r="A124" s="192"/>
      <c r="B124" s="176"/>
      <c r="C124" s="60" t="s">
        <v>51</v>
      </c>
      <c r="D124" s="61">
        <v>12169</v>
      </c>
      <c r="E124" s="61">
        <v>12872</v>
      </c>
      <c r="F124" s="123">
        <f>120.46041</f>
        <v>120.46041</v>
      </c>
      <c r="G124" s="123">
        <f>7007.83509</f>
        <v>7007.8350899999996</v>
      </c>
      <c r="H124" s="123">
        <f>E124-G124</f>
        <v>5864.1649100000004</v>
      </c>
      <c r="I124" s="123">
        <f>11111.68634</f>
        <v>11111.68634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12617</v>
      </c>
      <c r="F125" s="123">
        <f>54.9236</f>
        <v>54.9236</v>
      </c>
      <c r="G125" s="123">
        <f>7664.97286</f>
        <v>7664.9728599999999</v>
      </c>
      <c r="H125" s="123">
        <f>E125-G125</f>
        <v>4952.0271400000001</v>
      </c>
      <c r="I125" s="123">
        <f>10818.48405</f>
        <v>10818.484049999999</v>
      </c>
      <c r="J125" s="126"/>
    </row>
    <row r="126" spans="1:10" ht="14.1" customHeight="1" x14ac:dyDescent="0.25">
      <c r="A126" s="64"/>
      <c r="B126" s="51"/>
      <c r="C126" s="54" t="s">
        <v>29</v>
      </c>
      <c r="D126" s="55">
        <f>D127+D128</f>
        <v>7319</v>
      </c>
      <c r="E126" s="55">
        <f>E127+E128</f>
        <v>7742</v>
      </c>
      <c r="F126" s="129">
        <f>SUM(F127:F128)</f>
        <v>2.00474</v>
      </c>
      <c r="G126" s="129">
        <f>SUM(G127:G128)</f>
        <v>5879.7745999999997</v>
      </c>
      <c r="H126" s="129">
        <f>H127+H128</f>
        <v>1862.2253999999998</v>
      </c>
      <c r="I126" s="129">
        <f>SUM(I127:I128)</f>
        <v>8852.6467400000001</v>
      </c>
      <c r="J126" s="130"/>
    </row>
    <row r="127" spans="1:10" ht="14.1" customHeight="1" x14ac:dyDescent="0.25">
      <c r="A127" s="1"/>
      <c r="B127" s="277"/>
      <c r="C127" s="60" t="s">
        <v>65</v>
      </c>
      <c r="D127" s="61">
        <v>6819</v>
      </c>
      <c r="E127" s="61">
        <v>7242</v>
      </c>
      <c r="F127" s="123">
        <f>0</f>
        <v>0</v>
      </c>
      <c r="G127" s="123">
        <f>5730.3431</f>
        <v>5730.3431</v>
      </c>
      <c r="H127" s="123">
        <f t="shared" ref="H127:H135" si="15">E127-G127</f>
        <v>1511.6569</v>
      </c>
      <c r="I127" s="123">
        <f>8456.19854</f>
        <v>8456.1985399999994</v>
      </c>
      <c r="J127" s="117"/>
    </row>
    <row r="128" spans="1:10" ht="15" customHeight="1" x14ac:dyDescent="0.25">
      <c r="A128" s="1"/>
      <c r="B128" s="51"/>
      <c r="C128" s="60" t="s">
        <v>66</v>
      </c>
      <c r="D128" s="61">
        <v>500</v>
      </c>
      <c r="E128" s="61">
        <v>500</v>
      </c>
      <c r="F128" s="123">
        <f>2.00474</f>
        <v>2.00474</v>
      </c>
      <c r="G128" s="123">
        <f>149.4315</f>
        <v>149.4315</v>
      </c>
      <c r="H128" s="123">
        <f t="shared" si="15"/>
        <v>350.56849999999997</v>
      </c>
      <c r="I128" s="123">
        <f>396.4482</f>
        <v>396.44819999999999</v>
      </c>
      <c r="J128" s="131"/>
    </row>
    <row r="129" spans="1:10" ht="15.75" customHeight="1" x14ac:dyDescent="0.25">
      <c r="A129" s="1"/>
      <c r="B129" s="277"/>
      <c r="C129" s="37" t="s">
        <v>11</v>
      </c>
      <c r="D129" s="59">
        <v>9315</v>
      </c>
      <c r="E129" s="59">
        <v>10944</v>
      </c>
      <c r="F129" s="72">
        <f>80.16858</f>
        <v>80.168580000000006</v>
      </c>
      <c r="G129" s="72">
        <f>3944.97393</f>
        <v>3944.9739300000001</v>
      </c>
      <c r="H129" s="72">
        <f t="shared" si="15"/>
        <v>6999.0260699999999</v>
      </c>
      <c r="I129" s="72">
        <f>4360.51806</f>
        <v>4360.5180600000003</v>
      </c>
      <c r="J129" s="117"/>
    </row>
    <row r="130" spans="1:10" ht="15.75" customHeight="1" x14ac:dyDescent="0.25">
      <c r="A130" s="1"/>
      <c r="B130" s="277"/>
      <c r="C130" s="139" t="s">
        <v>34</v>
      </c>
      <c r="D130" s="140">
        <v>146</v>
      </c>
      <c r="E130" s="140">
        <v>146</v>
      </c>
      <c r="F130" s="136">
        <f>0</f>
        <v>0</v>
      </c>
      <c r="G130" s="136">
        <f>16.4505</f>
        <v>16.450500000000002</v>
      </c>
      <c r="H130" s="136">
        <f t="shared" si="15"/>
        <v>129.54949999999999</v>
      </c>
      <c r="I130" s="136">
        <f>15.71255</f>
        <v>15.71255</v>
      </c>
      <c r="J130" s="117"/>
    </row>
    <row r="131" spans="1:10" ht="15.75" customHeight="1" x14ac:dyDescent="0.25">
      <c r="A131" s="1"/>
      <c r="B131" s="277"/>
      <c r="C131" s="137" t="s">
        <v>67</v>
      </c>
      <c r="D131" s="86">
        <v>350</v>
      </c>
      <c r="E131" s="86">
        <v>350</v>
      </c>
      <c r="F131" s="95">
        <f>0</f>
        <v>0</v>
      </c>
      <c r="G131" s="95">
        <f>1.001</f>
        <v>1.0009999999999999</v>
      </c>
      <c r="H131" s="95">
        <f t="shared" si="15"/>
        <v>348.99900000000002</v>
      </c>
      <c r="I131" s="95">
        <f>256.036</f>
        <v>256.036</v>
      </c>
      <c r="J131" s="117"/>
    </row>
    <row r="132" spans="1:10" ht="18" customHeight="1" x14ac:dyDescent="0.25">
      <c r="A132" s="1"/>
      <c r="B132" s="277"/>
      <c r="C132" s="137" t="s">
        <v>68</v>
      </c>
      <c r="D132" s="140">
        <v>2000</v>
      </c>
      <c r="E132" s="140">
        <v>2000</v>
      </c>
      <c r="F132" s="136">
        <f>16.34712</f>
        <v>16.34712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25">
      <c r="A133" s="1"/>
      <c r="B133" s="277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77"/>
      <c r="C134" s="139" t="s">
        <v>69</v>
      </c>
      <c r="D134" s="140">
        <v>313</v>
      </c>
      <c r="E134" s="140">
        <v>313</v>
      </c>
      <c r="F134" s="95">
        <f>0.22205</f>
        <v>0.22205</v>
      </c>
      <c r="G134" s="95">
        <f>85.9656</f>
        <v>85.965599999999995</v>
      </c>
      <c r="H134" s="136">
        <f t="shared" si="15"/>
        <v>227.03440000000001</v>
      </c>
      <c r="I134" s="95">
        <f>43.55758</f>
        <v>43.557580000000002</v>
      </c>
      <c r="J134" s="117"/>
    </row>
    <row r="135" spans="1:10" ht="15" customHeight="1" x14ac:dyDescent="0.25">
      <c r="A135" s="1"/>
      <c r="B135" s="277"/>
      <c r="C135" s="139" t="s">
        <v>39</v>
      </c>
      <c r="D135" s="142"/>
      <c r="E135" s="140"/>
      <c r="F135" s="136">
        <f>0.30545</f>
        <v>0.30545</v>
      </c>
      <c r="G135" s="136">
        <f>77.55233</f>
        <v>77.552329999999998</v>
      </c>
      <c r="H135" s="136">
        <f t="shared" si="15"/>
        <v>-77.552329999999998</v>
      </c>
      <c r="I135" s="136">
        <f>113.71214</f>
        <v>113.71214000000001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598.96280000000002</v>
      </c>
      <c r="G137" s="73">
        <f>G115+G119+G120+G130+G131+G132+G133+G134+G135</f>
        <v>100235.24467000001</v>
      </c>
      <c r="H137" s="73">
        <f>H115+H119+H120+H130+H131+H132+H133+H134+H135</f>
        <v>100063.75532999997</v>
      </c>
      <c r="I137" s="73">
        <f>I115+I119+I120+I130+I131+I132+I133+I134+I135</f>
        <v>108200.52284999998</v>
      </c>
      <c r="J137" s="155"/>
    </row>
    <row r="138" spans="1:10" ht="14.25" customHeight="1" x14ac:dyDescent="0.25">
      <c r="A138" s="152"/>
      <c r="B138" s="50"/>
      <c r="C138" s="156" t="s">
        <v>70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127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25">
      <c r="A140" s="152"/>
      <c r="B140" s="50"/>
      <c r="C140" s="156" t="s">
        <v>130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2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25">
      <c r="A142" s="152"/>
      <c r="B142" s="50"/>
      <c r="C142" s="156" t="s">
        <v>131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25">
      <c r="A143" s="152"/>
      <c r="B143" s="50"/>
      <c r="C143" s="74" t="s">
        <v>137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111</v>
      </c>
      <c r="B147" s="2"/>
      <c r="C147" s="233" t="s">
        <v>71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111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111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" customHeight="1" x14ac:dyDescent="0.2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" customHeight="1" x14ac:dyDescent="0.2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" customHeight="1" x14ac:dyDescent="0.25">
      <c r="A153" s="1"/>
      <c r="B153" s="277"/>
      <c r="C153" s="172" t="s">
        <v>72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" customHeight="1" x14ac:dyDescent="0.25">
      <c r="A154" s="1"/>
      <c r="B154" s="277"/>
      <c r="C154" s="172" t="s">
        <v>48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" customHeight="1" x14ac:dyDescent="0.2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2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2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" customHeight="1" x14ac:dyDescent="0.25">
      <c r="A160" s="1"/>
      <c r="B160" s="277"/>
      <c r="C160" s="138" t="s">
        <v>73</v>
      </c>
      <c r="D160" s="91">
        <v>3762</v>
      </c>
      <c r="E160" s="297">
        <f>0</f>
        <v>0</v>
      </c>
      <c r="F160" s="297">
        <f>802.3486</f>
        <v>802.34860000000003</v>
      </c>
      <c r="G160" s="42">
        <f>D160-F160-F161</f>
        <v>1756.7350799999997</v>
      </c>
      <c r="H160" s="297">
        <f>763.41492</f>
        <v>763.41492000000005</v>
      </c>
      <c r="I160" s="1"/>
      <c r="J160" s="117"/>
    </row>
    <row r="161" spans="1:10" ht="14.1" customHeight="1" x14ac:dyDescent="0.25">
      <c r="A161" s="1"/>
      <c r="B161" s="277"/>
      <c r="C161" s="133" t="s">
        <v>52</v>
      </c>
      <c r="D161" s="175"/>
      <c r="E161" s="148">
        <f>0</f>
        <v>0</v>
      </c>
      <c r="F161" s="148">
        <f>1202.91632</f>
        <v>1202.91632</v>
      </c>
      <c r="G161" s="219"/>
      <c r="H161" s="148">
        <f>1298.70059</f>
        <v>1298.7005899999999</v>
      </c>
      <c r="I161" s="1"/>
      <c r="J161" s="117"/>
    </row>
    <row r="162" spans="1:10" ht="15.6" customHeight="1" x14ac:dyDescent="0.25">
      <c r="A162" s="1"/>
      <c r="B162" s="277"/>
      <c r="C162" s="163" t="s">
        <v>74</v>
      </c>
      <c r="D162" s="95">
        <v>200</v>
      </c>
      <c r="E162" s="166">
        <f>0</f>
        <v>0</v>
      </c>
      <c r="F162" s="166">
        <f>65.63334</f>
        <v>65.633340000000004</v>
      </c>
      <c r="G162" s="166">
        <f>D162-F162</f>
        <v>134.36666</v>
      </c>
      <c r="H162" s="166">
        <f>82.16938</f>
        <v>82.169380000000004</v>
      </c>
      <c r="I162" s="1"/>
      <c r="J162" s="117"/>
    </row>
    <row r="163" spans="1:10" ht="14.1" customHeight="1" x14ac:dyDescent="0.25">
      <c r="A163" s="65"/>
      <c r="B163" s="75"/>
      <c r="C163" s="174" t="s">
        <v>75</v>
      </c>
      <c r="D163" s="175">
        <v>5642</v>
      </c>
      <c r="E163" s="175">
        <f>E164+E165+E166</f>
        <v>79.879570000000001</v>
      </c>
      <c r="F163" s="175">
        <f>F164+F165+F166</f>
        <v>4963.4251200000008</v>
      </c>
      <c r="G163" s="175">
        <f>D163-F163</f>
        <v>678.57487999999921</v>
      </c>
      <c r="H163" s="175">
        <f>H164+H165+H166</f>
        <v>3860.0635099999995</v>
      </c>
      <c r="I163" s="65"/>
      <c r="J163" s="111"/>
    </row>
    <row r="164" spans="1:10" ht="14.1" customHeight="1" x14ac:dyDescent="0.25">
      <c r="A164" s="192"/>
      <c r="B164" s="176"/>
      <c r="C164" s="177" t="s">
        <v>76</v>
      </c>
      <c r="D164" s="123"/>
      <c r="E164" s="123">
        <f>39.75578</f>
        <v>39.755780000000001</v>
      </c>
      <c r="F164" s="123">
        <f>2840.61605</f>
        <v>2840.6160500000001</v>
      </c>
      <c r="G164" s="123"/>
      <c r="H164" s="123">
        <f>1851.79128</f>
        <v>1851.7912799999999</v>
      </c>
      <c r="I164" s="181"/>
      <c r="J164" s="126"/>
    </row>
    <row r="165" spans="1:10" ht="14.1" customHeight="1" x14ac:dyDescent="0.25">
      <c r="A165" s="192"/>
      <c r="B165" s="176"/>
      <c r="C165" s="177" t="s">
        <v>77</v>
      </c>
      <c r="D165" s="123"/>
      <c r="E165" s="123">
        <f>14.07394</f>
        <v>14.07394</v>
      </c>
      <c r="F165" s="123">
        <f>1413.1888</f>
        <v>1413.1887999999999</v>
      </c>
      <c r="G165" s="123"/>
      <c r="H165" s="123">
        <f>1215.10764</f>
        <v>1215.1076399999999</v>
      </c>
      <c r="I165" s="181"/>
      <c r="J165" s="182"/>
    </row>
    <row r="166" spans="1:10" ht="14.1" customHeight="1" x14ac:dyDescent="0.25">
      <c r="A166" s="192"/>
      <c r="B166" s="176"/>
      <c r="C166" s="183" t="s">
        <v>78</v>
      </c>
      <c r="D166" s="186"/>
      <c r="E166" s="186">
        <f>26.04985</f>
        <v>26.049849999999999</v>
      </c>
      <c r="F166" s="186">
        <f>709.62027</f>
        <v>709.62027</v>
      </c>
      <c r="G166" s="186"/>
      <c r="H166" s="186">
        <f>793.16459</f>
        <v>793.16458999999998</v>
      </c>
      <c r="I166" s="181"/>
      <c r="J166" s="182"/>
    </row>
    <row r="167" spans="1:10" ht="14.1" customHeight="1" x14ac:dyDescent="0.25">
      <c r="A167" s="1"/>
      <c r="B167" s="277"/>
      <c r="C167" s="70" t="s">
        <v>79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25">
      <c r="A168" s="1"/>
      <c r="B168" s="277"/>
      <c r="C168" s="89" t="s">
        <v>80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50000000000001" customHeight="1" x14ac:dyDescent="0.2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79.879570000000001</v>
      </c>
      <c r="F169" s="188">
        <f>F160+F161+F162+F163+F167+F168</f>
        <v>7039.676480000001</v>
      </c>
      <c r="G169" s="188">
        <f>D169-F169</f>
        <v>2635.323519999999</v>
      </c>
      <c r="H169" s="188">
        <f>H160+H161+H162+H163+H167+H168</f>
        <v>6004.3483999999989</v>
      </c>
      <c r="I169" s="159"/>
      <c r="J169" s="155"/>
    </row>
    <row r="170" spans="1:10" ht="42" customHeight="1" x14ac:dyDescent="0.25">
      <c r="A170" s="1"/>
      <c r="B170" s="193"/>
      <c r="C170" s="250" t="s">
        <v>132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25">
      <c r="A171" s="152" t="s">
        <v>111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111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81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111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2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77"/>
      <c r="C178" s="281" t="s">
        <v>82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77"/>
      <c r="C179" s="271" t="s">
        <v>83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77"/>
      <c r="C180" s="271" t="s">
        <v>84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77"/>
      <c r="C181" s="57" t="s">
        <v>48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77"/>
      <c r="C182" s="101" t="s">
        <v>133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77"/>
      <c r="C183" s="101" t="s">
        <v>134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77"/>
      <c r="C184" s="101" t="s">
        <v>135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2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77"/>
      <c r="C188" s="68" t="s">
        <v>16</v>
      </c>
      <c r="D188" s="210" t="s">
        <v>2</v>
      </c>
      <c r="E188" s="14" t="s">
        <v>140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25">
      <c r="A189" s="1"/>
      <c r="B189" s="277"/>
      <c r="C189" s="90" t="s">
        <v>4</v>
      </c>
      <c r="D189" s="124">
        <v>44142</v>
      </c>
      <c r="E189" s="124">
        <v>43335</v>
      </c>
      <c r="F189" s="124">
        <f>0</f>
        <v>0</v>
      </c>
      <c r="G189" s="124">
        <f>41843.96891</f>
        <v>41843.968910000003</v>
      </c>
      <c r="H189" s="124">
        <f>D189-G189</f>
        <v>2298.0310899999968</v>
      </c>
      <c r="I189" s="124">
        <f>37492.2612</f>
        <v>37492.261200000001</v>
      </c>
      <c r="J189" s="117"/>
    </row>
    <row r="190" spans="1:10" ht="15" customHeight="1" x14ac:dyDescent="0.25">
      <c r="A190" s="1"/>
      <c r="B190" s="277"/>
      <c r="C190" s="90" t="s">
        <v>66</v>
      </c>
      <c r="D190" s="124">
        <v>100</v>
      </c>
      <c r="E190" s="124">
        <v>100</v>
      </c>
      <c r="F190" s="124">
        <f>0.3725</f>
        <v>0.3725</v>
      </c>
      <c r="G190" s="124">
        <f>31.00114</f>
        <v>31.001139999999999</v>
      </c>
      <c r="H190" s="124">
        <f>D190-G190</f>
        <v>68.998860000000008</v>
      </c>
      <c r="I190" s="124">
        <f>26.86828</f>
        <v>26.868279999999999</v>
      </c>
      <c r="J190" s="117"/>
    </row>
    <row r="191" spans="1:10" ht="15.75" customHeight="1" x14ac:dyDescent="0.25">
      <c r="A191" s="1"/>
      <c r="B191" s="277"/>
      <c r="C191" s="146" t="s">
        <v>79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77"/>
      <c r="C192" s="179" t="s">
        <v>85</v>
      </c>
      <c r="D192" s="190">
        <f>SUM(D189:D191)</f>
        <v>44278</v>
      </c>
      <c r="E192" s="190">
        <f>SUM(E189:E191)</f>
        <v>43471</v>
      </c>
      <c r="F192" s="190">
        <f>SUM(F189:F191)</f>
        <v>0.3725</v>
      </c>
      <c r="G192" s="190">
        <f>SUM(G189:G191)</f>
        <v>41874.970050000004</v>
      </c>
      <c r="H192" s="190">
        <f>D192-G192</f>
        <v>2403.0299499999965</v>
      </c>
      <c r="I192" s="190">
        <f>SUM(I189:I191)</f>
        <v>37519.129480000003</v>
      </c>
      <c r="J192" s="117"/>
    </row>
    <row r="193" spans="1:10" ht="12" customHeight="1" x14ac:dyDescent="0.25">
      <c r="A193" s="1"/>
      <c r="B193" s="277"/>
      <c r="C193" s="101" t="s">
        <v>86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141</v>
      </c>
      <c r="D194" s="104"/>
      <c r="E194" s="104"/>
      <c r="F194" s="207"/>
      <c r="G194" s="207"/>
      <c r="H194" s="207"/>
      <c r="I194" s="207"/>
      <c r="J194" s="214"/>
    </row>
    <row r="195" spans="1:10" ht="15.9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112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111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2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25">
      <c r="A202" s="1"/>
      <c r="B202" s="277"/>
      <c r="C202" s="90" t="s">
        <v>115</v>
      </c>
      <c r="D202" s="124">
        <v>3987</v>
      </c>
      <c r="E202" s="72">
        <f>E203+E204</f>
        <v>3.4064700000000001</v>
      </c>
      <c r="F202" s="72">
        <f>F203+F204</f>
        <v>3008.96542</v>
      </c>
      <c r="G202" s="72">
        <f>D202-F202</f>
        <v>978.03458000000001</v>
      </c>
      <c r="H202" s="72">
        <f>H203+H204</f>
        <v>3536.3135900000002</v>
      </c>
      <c r="I202" s="271"/>
      <c r="J202" s="117"/>
    </row>
    <row r="203" spans="1:10" ht="15" customHeight="1" x14ac:dyDescent="0.25">
      <c r="A203" s="1"/>
      <c r="B203" s="277"/>
      <c r="C203" s="172" t="s">
        <v>8</v>
      </c>
      <c r="D203" s="124"/>
      <c r="E203" s="72">
        <f>1.03999</f>
        <v>1.03999</v>
      </c>
      <c r="F203" s="72">
        <f>2427.05894</f>
        <v>2427.0589399999999</v>
      </c>
      <c r="G203" s="72"/>
      <c r="H203" s="72">
        <f>3038.15358</f>
        <v>3038.1535800000001</v>
      </c>
      <c r="I203" s="271"/>
      <c r="J203" s="117"/>
    </row>
    <row r="204" spans="1:10" ht="15" customHeight="1" x14ac:dyDescent="0.25">
      <c r="A204" s="1"/>
      <c r="B204" s="277"/>
      <c r="C204" s="172" t="s">
        <v>66</v>
      </c>
      <c r="D204" s="124"/>
      <c r="E204" s="124">
        <f>2.36648</f>
        <v>2.3664800000000001</v>
      </c>
      <c r="F204" s="124">
        <f>581.90648</f>
        <v>581.90647999999999</v>
      </c>
      <c r="G204" s="168"/>
      <c r="H204" s="124">
        <f>498.16001</f>
        <v>498.16001</v>
      </c>
      <c r="I204" s="271"/>
      <c r="J204" s="117"/>
    </row>
    <row r="205" spans="1:10" ht="15" customHeight="1" x14ac:dyDescent="0.25">
      <c r="A205" s="1"/>
      <c r="B205" s="277"/>
      <c r="C205" s="90" t="s">
        <v>116</v>
      </c>
      <c r="D205" s="124">
        <v>4613</v>
      </c>
      <c r="E205" s="72">
        <f>36.2382</f>
        <v>36.238199999999999</v>
      </c>
      <c r="F205" s="72">
        <f>4110.49651</f>
        <v>4110.4965099999999</v>
      </c>
      <c r="G205" s="72">
        <f>D205-F205</f>
        <v>502.50349000000006</v>
      </c>
      <c r="H205" s="72">
        <f>4834.90315</f>
        <v>4834.9031500000001</v>
      </c>
      <c r="I205" s="271"/>
      <c r="J205" s="117"/>
    </row>
    <row r="206" spans="1:10" ht="16.5" customHeight="1" x14ac:dyDescent="0.25">
      <c r="A206" s="1"/>
      <c r="B206" s="277"/>
      <c r="C206" s="179" t="s">
        <v>85</v>
      </c>
      <c r="D206" s="190">
        <f>D205+D202</f>
        <v>8600</v>
      </c>
      <c r="E206" s="190">
        <f>SUM(E202,E205)</f>
        <v>39.644669999999998</v>
      </c>
      <c r="F206" s="190">
        <f>SUM(F202,F205)</f>
        <v>7119.4619299999995</v>
      </c>
      <c r="G206" s="190">
        <f>D206-F206</f>
        <v>1480.5380700000005</v>
      </c>
      <c r="H206" s="190">
        <f>SUM(H202,H205)</f>
        <v>8371.2167399999998</v>
      </c>
      <c r="I206" s="271"/>
      <c r="J206" s="117"/>
    </row>
    <row r="207" spans="1:10" ht="18.9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5.9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113</v>
      </c>
      <c r="D209" s="164"/>
      <c r="E209" s="164"/>
      <c r="F209" s="164"/>
      <c r="G209" s="164"/>
      <c r="H209" s="1"/>
      <c r="I209" s="1"/>
      <c r="J209" s="1"/>
    </row>
    <row r="210" spans="1:10" ht="21.6" customHeight="1" x14ac:dyDescent="0.35">
      <c r="A210" s="145" t="s">
        <v>111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2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25">
      <c r="A215" s="1"/>
      <c r="B215" s="277"/>
      <c r="C215" s="90" t="s">
        <v>115</v>
      </c>
      <c r="D215" s="124">
        <v>5090</v>
      </c>
      <c r="E215" s="72">
        <f>E216+E217</f>
        <v>2.0301499999999999</v>
      </c>
      <c r="F215" s="72">
        <f>F216+F217</f>
        <v>3865.6652799999997</v>
      </c>
      <c r="G215" s="72">
        <f>D215-F215</f>
        <v>1224.3347200000003</v>
      </c>
      <c r="H215" s="72">
        <f>H216+H217</f>
        <v>4044.16282</v>
      </c>
      <c r="I215" s="271"/>
      <c r="J215" s="117"/>
    </row>
    <row r="216" spans="1:10" ht="15" customHeight="1" x14ac:dyDescent="0.25">
      <c r="A216" s="1"/>
      <c r="B216" s="277"/>
      <c r="C216" s="172" t="s">
        <v>8</v>
      </c>
      <c r="D216" s="124"/>
      <c r="E216" s="72">
        <f>0.14513</f>
        <v>0.14513000000000001</v>
      </c>
      <c r="F216" s="72">
        <f>3559.71818</f>
        <v>3559.7181799999998</v>
      </c>
      <c r="G216" s="72"/>
      <c r="H216" s="72">
        <f>3616.52705</f>
        <v>3616.5270500000001</v>
      </c>
      <c r="I216" s="271"/>
      <c r="J216" s="117"/>
    </row>
    <row r="217" spans="1:10" ht="15" customHeight="1" x14ac:dyDescent="0.25">
      <c r="A217" s="1"/>
      <c r="B217" s="277"/>
      <c r="C217" s="172" t="s">
        <v>66</v>
      </c>
      <c r="D217" s="124"/>
      <c r="E217" s="124">
        <f>1.88502</f>
        <v>1.8850199999999999</v>
      </c>
      <c r="F217" s="124">
        <f>305.9471</f>
        <v>305.94709999999998</v>
      </c>
      <c r="G217" s="168"/>
      <c r="H217" s="124">
        <f>427.63577</f>
        <v>427.63576999999998</v>
      </c>
      <c r="I217" s="271"/>
      <c r="J217" s="117"/>
    </row>
    <row r="218" spans="1:10" ht="15" customHeight="1" x14ac:dyDescent="0.25">
      <c r="A218" s="1"/>
      <c r="B218" s="277"/>
      <c r="C218" s="90" t="s">
        <v>116</v>
      </c>
      <c r="D218" s="124">
        <v>2981</v>
      </c>
      <c r="E218" s="72">
        <f>30.18438</f>
        <v>30.184380000000001</v>
      </c>
      <c r="F218" s="72">
        <f>1751.84299</f>
        <v>1751.8429900000001</v>
      </c>
      <c r="G218" s="72">
        <f>D218-F218</f>
        <v>1229.1570099999999</v>
      </c>
      <c r="H218" s="72">
        <f>2155.49979</f>
        <v>2155.4997899999998</v>
      </c>
      <c r="I218" s="271"/>
      <c r="J218" s="117"/>
    </row>
    <row r="219" spans="1:10" ht="16.5" customHeight="1" x14ac:dyDescent="0.25">
      <c r="A219" s="1"/>
      <c r="B219" s="277"/>
      <c r="C219" s="179" t="s">
        <v>85</v>
      </c>
      <c r="D219" s="190">
        <f>D218+D215</f>
        <v>8071</v>
      </c>
      <c r="E219" s="190">
        <f>SUM(E215,E218)</f>
        <v>32.214530000000003</v>
      </c>
      <c r="F219" s="190">
        <f>SUM(F215,F218)</f>
        <v>5617.5082700000003</v>
      </c>
      <c r="G219" s="190">
        <f>D219-F219</f>
        <v>2453.4917299999997</v>
      </c>
      <c r="H219" s="190">
        <f>SUM(H215,H218)</f>
        <v>6199.6626099999994</v>
      </c>
      <c r="I219" s="271"/>
      <c r="J219" s="117"/>
    </row>
    <row r="220" spans="1:10" ht="18.9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87</v>
      </c>
      <c r="D222" s="223"/>
      <c r="E222" s="223"/>
      <c r="F222" s="223"/>
      <c r="G222" s="223"/>
      <c r="H222" s="223"/>
      <c r="I222" s="223"/>
      <c r="J222" s="247"/>
    </row>
    <row r="223" spans="1:10" ht="21.6" customHeight="1" x14ac:dyDescent="0.25">
      <c r="A223" s="223" t="s">
        <v>111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77"/>
      <c r="C226" s="281" t="s">
        <v>82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" customHeight="1" x14ac:dyDescent="0.25">
      <c r="A227" s="1"/>
      <c r="B227" s="277"/>
      <c r="C227" s="271" t="s">
        <v>88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" customHeight="1" x14ac:dyDescent="0.25">
      <c r="A228" s="1"/>
      <c r="B228" s="277"/>
      <c r="C228" s="271" t="s">
        <v>89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25">
      <c r="A229" s="1"/>
      <c r="B229" s="277"/>
      <c r="C229" s="271" t="s">
        <v>117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25">
      <c r="A230" s="1"/>
      <c r="B230" s="277"/>
      <c r="C230" s="57" t="s">
        <v>48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77"/>
      <c r="C231" s="251" t="s">
        <v>90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77"/>
      <c r="C232" s="101" t="s">
        <v>100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" customHeight="1" x14ac:dyDescent="0.2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2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" customHeight="1" x14ac:dyDescent="0.25">
      <c r="A237" s="65"/>
      <c r="B237" s="75"/>
      <c r="C237" s="90" t="s">
        <v>91</v>
      </c>
      <c r="D237" s="124">
        <v>800</v>
      </c>
      <c r="E237" s="124">
        <f>0.70446</f>
        <v>0.70445999999999998</v>
      </c>
      <c r="F237" s="124">
        <f>288.88568</f>
        <v>288.88567999999998</v>
      </c>
      <c r="G237" s="124">
        <f>D237-F237</f>
        <v>511.11432000000002</v>
      </c>
      <c r="H237" s="124">
        <f>417.17306</f>
        <v>417.17306000000002</v>
      </c>
      <c r="I237" s="65"/>
      <c r="J237" s="267"/>
    </row>
    <row r="238" spans="1:10" ht="14.1" customHeight="1" x14ac:dyDescent="0.25">
      <c r="A238" s="1"/>
      <c r="B238" s="277"/>
      <c r="C238" s="90" t="s">
        <v>92</v>
      </c>
      <c r="D238" s="269">
        <v>2193</v>
      </c>
      <c r="E238" s="124">
        <f>21.01523</f>
        <v>21.015229999999999</v>
      </c>
      <c r="F238" s="124">
        <f>681.26666</f>
        <v>681.26666</v>
      </c>
      <c r="G238" s="124">
        <f>D238-F238</f>
        <v>1511.73334</v>
      </c>
      <c r="H238" s="124">
        <f>1474.86039</f>
        <v>1474.8603900000001</v>
      </c>
      <c r="I238" s="173"/>
      <c r="J238" s="111"/>
    </row>
    <row r="239" spans="1:10" ht="16.5" customHeight="1" x14ac:dyDescent="0.25">
      <c r="A239" s="65"/>
      <c r="B239" s="75"/>
      <c r="C239" s="146" t="s">
        <v>79</v>
      </c>
      <c r="D239" s="269">
        <v>10</v>
      </c>
      <c r="E239" s="168">
        <f>0</f>
        <v>0</v>
      </c>
      <c r="F239" s="168">
        <f>0.82114</f>
        <v>0.82113999999999998</v>
      </c>
      <c r="G239" s="124">
        <f>D239-F239</f>
        <v>9.1788600000000002</v>
      </c>
      <c r="H239" s="168">
        <f>3.60962</f>
        <v>3.6096200000000001</v>
      </c>
      <c r="I239" s="65"/>
      <c r="J239" s="272"/>
    </row>
    <row r="240" spans="1:10" ht="18.75" customHeight="1" x14ac:dyDescent="0.25">
      <c r="A240" s="65"/>
      <c r="B240" s="273"/>
      <c r="C240" s="146" t="s">
        <v>93</v>
      </c>
      <c r="D240" s="245"/>
      <c r="E240" s="168">
        <f>0</f>
        <v>0</v>
      </c>
      <c r="F240" s="168">
        <f>2.37828</f>
        <v>2.3782800000000002</v>
      </c>
      <c r="G240" s="124">
        <f>D240-F240</f>
        <v>-2.3782800000000002</v>
      </c>
      <c r="H240" s="168">
        <f>0.091</f>
        <v>9.0999999999999998E-2</v>
      </c>
      <c r="I240" s="305"/>
      <c r="J240" s="117"/>
    </row>
    <row r="241" spans="1:10" ht="14.1" customHeight="1" x14ac:dyDescent="0.25">
      <c r="A241" s="1"/>
      <c r="B241" s="277"/>
      <c r="C241" s="179" t="s">
        <v>85</v>
      </c>
      <c r="D241" s="5">
        <f>D226</f>
        <v>3003</v>
      </c>
      <c r="E241" s="190">
        <f>SUM(E237:E240)</f>
        <v>21.71969</v>
      </c>
      <c r="F241" s="190">
        <f>SUM(F237:F240)</f>
        <v>973.35176000000001</v>
      </c>
      <c r="G241" s="190">
        <f>D241-F241</f>
        <v>2029.64824</v>
      </c>
      <c r="H241" s="190">
        <f>H237+H238+H239+H240</f>
        <v>1895.73407</v>
      </c>
      <c r="I241" s="1"/>
      <c r="J241" s="117"/>
    </row>
    <row r="242" spans="1:10" ht="14.1" customHeight="1" x14ac:dyDescent="0.2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5.95" customHeight="1" x14ac:dyDescent="0.25">
      <c r="A244" s="1"/>
      <c r="C244" s="145" t="s">
        <v>111</v>
      </c>
    </row>
    <row r="245" spans="1:10" ht="14.1" customHeight="1" x14ac:dyDescent="0.25">
      <c r="A245" s="1" t="s">
        <v>111</v>
      </c>
    </row>
    <row r="246" spans="1:10" ht="30" customHeight="1" x14ac:dyDescent="0.35">
      <c r="A246" s="223"/>
      <c r="B246" s="1"/>
      <c r="C246" s="213" t="s">
        <v>94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95</v>
      </c>
      <c r="F249" s="180"/>
      <c r="G249" s="144" t="s">
        <v>96</v>
      </c>
      <c r="H249" s="180"/>
      <c r="I249" s="145"/>
      <c r="J249" s="127"/>
    </row>
    <row r="250" spans="1:10" ht="14.25" customHeight="1" x14ac:dyDescent="0.25">
      <c r="B250" s="69"/>
      <c r="C250" s="281" t="s">
        <v>82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71" t="s">
        <v>89</v>
      </c>
      <c r="D251" s="46">
        <f>25446+880-1500</f>
        <v>24826</v>
      </c>
      <c r="E251" s="173" t="s">
        <v>92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71" t="s">
        <v>88</v>
      </c>
      <c r="D252" s="46">
        <v>8940</v>
      </c>
      <c r="E252" s="173" t="s">
        <v>58</v>
      </c>
      <c r="F252" s="45">
        <v>5500</v>
      </c>
      <c r="G252" s="271" t="s">
        <v>97</v>
      </c>
      <c r="H252" s="46">
        <v>5043</v>
      </c>
      <c r="I252" s="145"/>
      <c r="J252" s="127"/>
    </row>
    <row r="253" spans="1:10" ht="14.1" customHeight="1" x14ac:dyDescent="0.25">
      <c r="B253" s="69"/>
      <c r="C253" s="271"/>
      <c r="D253" s="46"/>
      <c r="E253" s="128"/>
      <c r="F253" s="141"/>
      <c r="G253" s="271" t="s">
        <v>98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48</v>
      </c>
      <c r="D254" s="35">
        <v>71638</v>
      </c>
      <c r="E254" s="167" t="s">
        <v>99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128</v>
      </c>
      <c r="D255" s="173"/>
      <c r="E255" s="173"/>
      <c r="F255" s="173"/>
      <c r="G255" s="1"/>
      <c r="H255" s="173"/>
      <c r="I255" s="173"/>
      <c r="J255" s="267"/>
    </row>
    <row r="256" spans="1:10" ht="13.35" customHeight="1" x14ac:dyDescent="0.25">
      <c r="B256" s="69"/>
      <c r="C256" s="205" t="s">
        <v>118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2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25">
      <c r="B261" s="69"/>
      <c r="C261" s="246" t="s">
        <v>16</v>
      </c>
      <c r="D261" s="255" t="s">
        <v>17</v>
      </c>
      <c r="E261" s="68" t="s">
        <v>136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" customHeight="1" x14ac:dyDescent="0.2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23.820540000000001</v>
      </c>
      <c r="G262" s="276">
        <f t="shared" si="17"/>
        <v>7343.8840099999998</v>
      </c>
      <c r="H262" s="276">
        <f>H266+H265+H264+H263</f>
        <v>20392.115989999998</v>
      </c>
      <c r="I262" s="276">
        <f t="shared" si="17"/>
        <v>9245.4277500000007</v>
      </c>
      <c r="J262" s="127"/>
    </row>
    <row r="263" spans="1:10" ht="14.1" customHeight="1" x14ac:dyDescent="0.25">
      <c r="A263" s="223"/>
      <c r="B263" s="69"/>
      <c r="C263" s="278" t="s">
        <v>101</v>
      </c>
      <c r="D263" s="279">
        <v>14132</v>
      </c>
      <c r="E263" s="279">
        <v>16670</v>
      </c>
      <c r="F263" s="280">
        <f>0</f>
        <v>0</v>
      </c>
      <c r="G263" s="280">
        <f>2716.14139</f>
        <v>2716.1413899999998</v>
      </c>
      <c r="H263" s="280">
        <f t="shared" ref="H263:H267" si="18">E263-G263</f>
        <v>13953.858609999999</v>
      </c>
      <c r="I263" s="280">
        <f>5356.19711</f>
        <v>5356.1971100000001</v>
      </c>
      <c r="J263" s="127"/>
    </row>
    <row r="264" spans="1:10" ht="14.1" customHeight="1" x14ac:dyDescent="0.2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701.78751</f>
        <v>701.78751</v>
      </c>
      <c r="H264" s="280">
        <f t="shared" si="18"/>
        <v>3637.2124899999999</v>
      </c>
      <c r="I264" s="280">
        <f>912.4407</f>
        <v>912.44069999999999</v>
      </c>
      <c r="J264" s="127"/>
    </row>
    <row r="265" spans="1:10" ht="14.1" customHeight="1" x14ac:dyDescent="0.25">
      <c r="A265" s="223"/>
      <c r="B265" s="69"/>
      <c r="C265" s="282" t="s">
        <v>98</v>
      </c>
      <c r="D265" s="279">
        <v>1506</v>
      </c>
      <c r="E265" s="279">
        <v>1571</v>
      </c>
      <c r="F265" s="280">
        <f>19.60094</f>
        <v>19.600940000000001</v>
      </c>
      <c r="G265" s="280">
        <f>1199.39592</f>
        <v>1199.3959199999999</v>
      </c>
      <c r="H265" s="280">
        <f t="shared" si="18"/>
        <v>371.60408000000007</v>
      </c>
      <c r="I265" s="280">
        <f>1386.98908</f>
        <v>1386.9890800000001</v>
      </c>
      <c r="J265" s="127"/>
    </row>
    <row r="266" spans="1:10" ht="14.1" customHeight="1" x14ac:dyDescent="0.25">
      <c r="A266" s="223"/>
      <c r="B266" s="69"/>
      <c r="C266" s="284" t="s">
        <v>121</v>
      </c>
      <c r="D266" s="285">
        <v>5043</v>
      </c>
      <c r="E266" s="285">
        <v>5156</v>
      </c>
      <c r="F266" s="280">
        <f>4.2196</f>
        <v>4.2195999999999998</v>
      </c>
      <c r="G266" s="280">
        <f>2726.55919</f>
        <v>2726.5591899999999</v>
      </c>
      <c r="H266" s="280">
        <f t="shared" si="18"/>
        <v>2429.4408100000001</v>
      </c>
      <c r="I266" s="280">
        <f>1589.80086</f>
        <v>1589.8008600000001</v>
      </c>
      <c r="J266" s="127"/>
    </row>
    <row r="267" spans="1:10" ht="14.1" customHeight="1" x14ac:dyDescent="0.25">
      <c r="A267" s="223"/>
      <c r="B267" s="69"/>
      <c r="C267" s="287" t="s">
        <v>58</v>
      </c>
      <c r="D267" s="288">
        <v>5500</v>
      </c>
      <c r="E267" s="288">
        <v>5500</v>
      </c>
      <c r="F267" s="290">
        <f>0</f>
        <v>0</v>
      </c>
      <c r="G267" s="290">
        <f>4095.19124</f>
        <v>4095.1912400000001</v>
      </c>
      <c r="H267" s="290">
        <f t="shared" si="18"/>
        <v>1404.8087599999999</v>
      </c>
      <c r="I267" s="290">
        <f>2085.55478</f>
        <v>2085.5547799999999</v>
      </c>
      <c r="J267" s="127"/>
    </row>
    <row r="268" spans="1:10" ht="14.1" customHeight="1" x14ac:dyDescent="0.2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54.374689999999994</v>
      </c>
      <c r="G268" s="291">
        <f>G270+G269</f>
        <v>1601.8989200000001</v>
      </c>
      <c r="H268" s="291">
        <f>E268-G268</f>
        <v>6398.1010800000004</v>
      </c>
      <c r="I268" s="291">
        <f>I270+I269</f>
        <v>1981.7032100000001</v>
      </c>
      <c r="J268" s="127"/>
    </row>
    <row r="269" spans="1:10" ht="14.1" customHeight="1" x14ac:dyDescent="0.25">
      <c r="A269" s="223"/>
      <c r="B269" s="69"/>
      <c r="C269" s="282" t="s">
        <v>52</v>
      </c>
      <c r="D269" s="293"/>
      <c r="E269" s="279"/>
      <c r="F269" s="280">
        <f>1.91318</f>
        <v>1.9131800000000001</v>
      </c>
      <c r="G269" s="280">
        <f>481.42781</f>
        <v>481.42781000000002</v>
      </c>
      <c r="H269" s="280"/>
      <c r="I269" s="280">
        <f>600.23663</f>
        <v>600.23662999999999</v>
      </c>
      <c r="J269" s="127"/>
    </row>
    <row r="270" spans="1:10" ht="14.1" customHeight="1" x14ac:dyDescent="0.25">
      <c r="A270" s="223"/>
      <c r="B270" s="69"/>
      <c r="C270" s="295" t="s">
        <v>102</v>
      </c>
      <c r="D270" s="296"/>
      <c r="E270" s="298"/>
      <c r="F270" s="299">
        <f>52.46151</f>
        <v>52.461509999999997</v>
      </c>
      <c r="G270" s="299">
        <f>1120.47111</f>
        <v>1120.47111</v>
      </c>
      <c r="H270" s="299"/>
      <c r="I270" s="299">
        <f>1381.46658</f>
        <v>1381.46658</v>
      </c>
      <c r="J270" s="127"/>
    </row>
    <row r="271" spans="1:10" ht="14.1" customHeight="1" x14ac:dyDescent="0.25">
      <c r="A271" s="223"/>
      <c r="B271" s="69"/>
      <c r="C271" s="287" t="s">
        <v>34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0.1164</f>
        <v>0.1164</v>
      </c>
      <c r="J271" s="127"/>
    </row>
    <row r="272" spans="1:10" ht="14.1" customHeight="1" x14ac:dyDescent="0.25">
      <c r="A272" s="223"/>
      <c r="B272" s="69"/>
      <c r="C272" s="300" t="s">
        <v>103</v>
      </c>
      <c r="D272" s="303"/>
      <c r="E272" s="304"/>
      <c r="F272" s="290">
        <f>2.3172</f>
        <v>2.3172000000000001</v>
      </c>
      <c r="G272" s="290">
        <f>116.38824</f>
        <v>116.38824</v>
      </c>
      <c r="H272" s="290">
        <f>E272-G272</f>
        <v>-116.38824</v>
      </c>
      <c r="I272" s="290">
        <f>87.44292</f>
        <v>87.442920000000001</v>
      </c>
      <c r="J272" s="127"/>
    </row>
    <row r="273" spans="1:10" ht="19.5" customHeight="1" x14ac:dyDescent="0.25">
      <c r="A273" s="223"/>
      <c r="B273" s="69"/>
      <c r="C273" s="306" t="s">
        <v>40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80.512429999999995</v>
      </c>
      <c r="G273" s="308">
        <f t="shared" si="19"/>
        <v>13157.930909999999</v>
      </c>
      <c r="H273" s="308">
        <f>H262+H267+H268+H271+H272</f>
        <v>28091.069089999997</v>
      </c>
      <c r="I273" s="308">
        <f t="shared" si="19"/>
        <v>13400.245060000001</v>
      </c>
      <c r="J273" s="127"/>
    </row>
    <row r="274" spans="1:10" ht="14.1" customHeight="1" x14ac:dyDescent="0.25">
      <c r="A274" s="223"/>
      <c r="B274" s="69"/>
      <c r="C274" s="156" t="s">
        <v>104</v>
      </c>
      <c r="D274" s="310"/>
      <c r="E274" s="310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129</v>
      </c>
      <c r="D275" s="310"/>
      <c r="E275" s="310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138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111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111</v>
      </c>
      <c r="D279" s="152"/>
    </row>
    <row r="280" spans="1:10" ht="14.1" customHeight="1" x14ac:dyDescent="0.2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" customHeight="1" x14ac:dyDescent="0.25">
      <c r="A281" s="223"/>
      <c r="B281" s="69"/>
      <c r="C281" s="233" t="s">
        <v>105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1" t="s">
        <v>89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1" t="s">
        <v>72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48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24" t="s">
        <v>119</v>
      </c>
      <c r="D288" s="324"/>
      <c r="E288" s="324"/>
      <c r="F288" s="324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25">
      <c r="A293" s="223"/>
      <c r="B293" s="193"/>
      <c r="C293" s="19" t="s">
        <v>106</v>
      </c>
      <c r="D293" s="21" t="s">
        <v>107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" customHeight="1" x14ac:dyDescent="0.25">
      <c r="A294" s="223"/>
      <c r="B294" s="69"/>
      <c r="C294" s="287" t="s">
        <v>108</v>
      </c>
      <c r="D294" s="197">
        <v>779</v>
      </c>
      <c r="E294" s="25">
        <f>SUM(E295:E296)</f>
        <v>58.282600000000002</v>
      </c>
      <c r="F294" s="25">
        <f>SUM(F295:F296)</f>
        <v>401.54634999999996</v>
      </c>
      <c r="G294" s="82">
        <f>D294-F294</f>
        <v>377.45365000000004</v>
      </c>
      <c r="H294" s="25">
        <f>SUM(H295:H296)</f>
        <v>389.80639999999994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49.377</f>
        <v>49.377000000000002</v>
      </c>
      <c r="F295" s="198">
        <f>315.12145</f>
        <v>315.12144999999998</v>
      </c>
      <c r="G295" s="199"/>
      <c r="H295" s="198">
        <f>306.703</f>
        <v>306.70299999999997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8.9056</f>
        <v>8.9055999999999997</v>
      </c>
      <c r="F296" s="202">
        <f>86.4249</f>
        <v>86.424899999999994</v>
      </c>
      <c r="G296" s="203"/>
      <c r="H296" s="202">
        <f>83.1034</f>
        <v>83.103399999999993</v>
      </c>
      <c r="I296" s="145"/>
      <c r="J296" s="127"/>
    </row>
    <row r="297" spans="1:10" ht="14.1" customHeight="1" x14ac:dyDescent="0.25">
      <c r="A297" s="223"/>
      <c r="B297" s="69"/>
      <c r="C297" s="287" t="s">
        <v>109</v>
      </c>
      <c r="D297" s="9">
        <v>779</v>
      </c>
      <c r="E297" s="25">
        <f>SUM(E298:E299)</f>
        <v>0</v>
      </c>
      <c r="F297" s="25">
        <f>SUM(F298:F299)</f>
        <v>0</v>
      </c>
      <c r="G297" s="82">
        <f>D297-F297</f>
        <v>779</v>
      </c>
      <c r="H297" s="25">
        <f>SUM(H298:H299)</f>
        <v>0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0</f>
        <v>0</v>
      </c>
      <c r="F298" s="29">
        <f>0</f>
        <v>0</v>
      </c>
      <c r="G298" s="94"/>
      <c r="H298" s="29">
        <f>0</f>
        <v>0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4"/>
      <c r="E299" s="29">
        <f>0</f>
        <v>0</v>
      </c>
      <c r="F299" s="29">
        <f>0</f>
        <v>0</v>
      </c>
      <c r="G299" s="105"/>
      <c r="H299" s="29">
        <f>0</f>
        <v>0</v>
      </c>
      <c r="I299" s="145"/>
      <c r="J299" s="127"/>
    </row>
    <row r="300" spans="1:10" ht="14.1" customHeight="1" x14ac:dyDescent="0.25">
      <c r="A300" s="223"/>
      <c r="B300" s="69"/>
      <c r="C300" s="287" t="s">
        <v>110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" customHeight="1" x14ac:dyDescent="0.25">
      <c r="A303" s="223"/>
      <c r="B303" s="69"/>
      <c r="C303" s="300" t="s">
        <v>93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06" t="s">
        <v>85</v>
      </c>
      <c r="D304" s="38">
        <f>D294+D297+D300</f>
        <v>2338</v>
      </c>
      <c r="E304" s="39">
        <f>E294+E297+E300+E303</f>
        <v>58.282600000000002</v>
      </c>
      <c r="F304" s="39">
        <f>F294+F297+F300+F303</f>
        <v>401.54634999999996</v>
      </c>
      <c r="G304" s="40">
        <f>D304-F304</f>
        <v>1936.4536499999999</v>
      </c>
      <c r="H304" s="39">
        <f>H294+H297+H300+H303</f>
        <v>389.80639999999994</v>
      </c>
      <c r="I304" s="26"/>
      <c r="J304" s="127"/>
    </row>
    <row r="305" spans="1:10" ht="42" customHeight="1" x14ac:dyDescent="0.25">
      <c r="A305" s="223"/>
      <c r="B305" s="230"/>
      <c r="C305" s="326" t="s">
        <v>114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111</v>
      </c>
      <c r="D307" s="152"/>
    </row>
    <row r="308" spans="1:10" ht="15.6" customHeight="1" x14ac:dyDescent="0.2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8.95" customHeight="1" x14ac:dyDescent="0.25">
      <c r="A309" s="223"/>
      <c r="B309" s="69"/>
      <c r="C309" s="233" t="s">
        <v>145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146</v>
      </c>
      <c r="E311" s="212" t="s">
        <v>147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89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148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8.95" customHeight="1" x14ac:dyDescent="0.25">
      <c r="A315" s="223"/>
      <c r="B315" s="69"/>
      <c r="C315" s="172" t="s">
        <v>48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24" t="s">
        <v>157</v>
      </c>
      <c r="D316" s="324"/>
      <c r="E316" s="324"/>
      <c r="F316" s="324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25">
      <c r="A321" s="223"/>
      <c r="B321" s="193"/>
      <c r="C321" s="19" t="s">
        <v>106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600000000000001" customHeight="1" x14ac:dyDescent="0.25">
      <c r="A322" s="223"/>
      <c r="B322" s="69"/>
      <c r="C322" s="236" t="s">
        <v>154</v>
      </c>
      <c r="D322" s="237">
        <v>248</v>
      </c>
      <c r="E322" s="29">
        <f>3.03721</f>
        <v>3.03721</v>
      </c>
      <c r="F322" s="29">
        <f>586.50408</f>
        <v>586.50408000000004</v>
      </c>
      <c r="G322" s="238">
        <f>D322-F322</f>
        <v>-338.50408000000004</v>
      </c>
      <c r="H322" s="29">
        <f>306.46566</f>
        <v>306.46566000000001</v>
      </c>
      <c r="I322" s="242"/>
      <c r="J322" s="127"/>
    </row>
    <row r="323" spans="1:10" ht="17.45" customHeight="1" x14ac:dyDescent="0.25">
      <c r="A323" s="223"/>
      <c r="B323" s="69"/>
      <c r="C323" s="239" t="s">
        <v>155</v>
      </c>
      <c r="D323" s="240">
        <v>22048</v>
      </c>
      <c r="E323" s="29">
        <f>16.10946</f>
        <v>16.109459999999999</v>
      </c>
      <c r="F323" s="29">
        <f>900.7734</f>
        <v>900.77340000000004</v>
      </c>
      <c r="G323" s="241">
        <f>D323-F323</f>
        <v>21147.226600000002</v>
      </c>
      <c r="H323" s="29">
        <f>1485.43686</f>
        <v>1485.43686</v>
      </c>
      <c r="I323" s="26"/>
      <c r="J323" s="127"/>
    </row>
    <row r="324" spans="1:10" ht="17.100000000000001" customHeight="1" x14ac:dyDescent="0.25">
      <c r="A324" s="223"/>
      <c r="B324" s="69"/>
      <c r="C324" s="306" t="s">
        <v>85</v>
      </c>
      <c r="D324" s="229">
        <f>D322+D323</f>
        <v>22296</v>
      </c>
      <c r="E324" s="39">
        <f>E323+E322</f>
        <v>19.14667</v>
      </c>
      <c r="F324" s="39">
        <f>F323+F322</f>
        <v>1487.2774800000002</v>
      </c>
      <c r="G324" s="39">
        <f>G323+G322</f>
        <v>20808.722520000003</v>
      </c>
      <c r="H324" s="39">
        <f>H323+H322</f>
        <v>1791.9025200000001</v>
      </c>
      <c r="I324" s="26"/>
      <c r="J324" s="127"/>
    </row>
    <row r="325" spans="1:10" ht="22.5" customHeight="1" x14ac:dyDescent="0.25">
      <c r="A325" s="223"/>
      <c r="B325" s="69"/>
      <c r="C325" s="322" t="s">
        <v>156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111</v>
      </c>
      <c r="D328" s="152"/>
    </row>
    <row r="329" spans="1:10" ht="0" hidden="1" customHeight="1" x14ac:dyDescent="0.2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25">
      <c r="A330" s="223"/>
      <c r="B330" s="69"/>
      <c r="C330" s="233" t="s">
        <v>145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146</v>
      </c>
      <c r="E332" s="212" t="s">
        <v>147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89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148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48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21" t="s">
        <v>149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25">
      <c r="A342" s="223"/>
      <c r="B342" s="193"/>
      <c r="C342" s="19" t="s">
        <v>106</v>
      </c>
      <c r="D342" s="19" t="s">
        <v>1</v>
      </c>
      <c r="E342" s="246" t="s">
        <v>150</v>
      </c>
      <c r="F342" s="246" t="s">
        <v>151</v>
      </c>
      <c r="G342" s="246" t="s">
        <v>152</v>
      </c>
      <c r="H342" s="224" t="s">
        <v>153</v>
      </c>
      <c r="I342" s="247"/>
      <c r="J342" s="13"/>
    </row>
    <row r="343" spans="1:10" ht="0" hidden="1" customHeight="1" x14ac:dyDescent="0.25">
      <c r="A343" s="223"/>
      <c r="B343" s="69"/>
      <c r="C343" s="225" t="s">
        <v>154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87" t="s">
        <v>155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06" t="s">
        <v>85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22" t="s">
        <v>156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31&amp;R04.08.2025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2025-08-04T09:23:11Z</dcterms:modified>
</cp:coreProperties>
</file>