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ameikl\Downloads\"/>
    </mc:Choice>
  </mc:AlternateContent>
  <xr:revisionPtr revIDLastSave="0" documentId="13_ncr:1_{FE05E3A6-951F-4833-AD1D-50B564B15A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419" i="1"/>
  <c r="F419" i="1"/>
  <c r="E419" i="1"/>
  <c r="H418" i="1"/>
  <c r="F418" i="1"/>
  <c r="E418" i="1"/>
  <c r="E417" i="1" s="1"/>
  <c r="H417" i="1"/>
  <c r="F417" i="1"/>
  <c r="H416" i="1"/>
  <c r="F416" i="1"/>
  <c r="E416" i="1"/>
  <c r="H415" i="1"/>
  <c r="F415" i="1"/>
  <c r="F414" i="1" s="1"/>
  <c r="E415" i="1"/>
  <c r="E414" i="1" s="1"/>
  <c r="H414" i="1"/>
  <c r="H413" i="1"/>
  <c r="F413" i="1"/>
  <c r="E413" i="1"/>
  <c r="H412" i="1"/>
  <c r="H411" i="1" s="1"/>
  <c r="H421" i="1" s="1"/>
  <c r="F412" i="1"/>
  <c r="F411" i="1" s="1"/>
  <c r="E412" i="1"/>
  <c r="E411" i="1" s="1"/>
  <c r="E389" i="1"/>
  <c r="I388" i="1"/>
  <c r="G388" i="1"/>
  <c r="H388" i="1" s="1"/>
  <c r="F388" i="1"/>
  <c r="I387" i="1"/>
  <c r="G387" i="1"/>
  <c r="H387" i="1" s="1"/>
  <c r="F387" i="1"/>
  <c r="I386" i="1"/>
  <c r="G386" i="1"/>
  <c r="F386" i="1"/>
  <c r="F384" i="1" s="1"/>
  <c r="I385" i="1"/>
  <c r="G385" i="1"/>
  <c r="G384" i="1" s="1"/>
  <c r="H384" i="1" s="1"/>
  <c r="F385" i="1"/>
  <c r="I384" i="1"/>
  <c r="I383" i="1"/>
  <c r="G383" i="1"/>
  <c r="H383" i="1" s="1"/>
  <c r="F383" i="1"/>
  <c r="I382" i="1"/>
  <c r="G382" i="1"/>
  <c r="H382" i="1" s="1"/>
  <c r="F382" i="1"/>
  <c r="I381" i="1"/>
  <c r="G381" i="1"/>
  <c r="G378" i="1" s="1"/>
  <c r="G389" i="1" s="1"/>
  <c r="F381" i="1"/>
  <c r="F378" i="1" s="1"/>
  <c r="I380" i="1"/>
  <c r="I378" i="1" s="1"/>
  <c r="I389" i="1" s="1"/>
  <c r="G380" i="1"/>
  <c r="H380" i="1" s="1"/>
  <c r="F380" i="1"/>
  <c r="I379" i="1"/>
  <c r="G379" i="1"/>
  <c r="H379" i="1" s="1"/>
  <c r="F379" i="1"/>
  <c r="E378" i="1"/>
  <c r="D378" i="1"/>
  <c r="D389" i="1" s="1"/>
  <c r="H370" i="1"/>
  <c r="F370" i="1"/>
  <c r="D352" i="1"/>
  <c r="H351" i="1"/>
  <c r="F351" i="1"/>
  <c r="E351" i="1"/>
  <c r="H350" i="1"/>
  <c r="F350" i="1"/>
  <c r="G350" i="1" s="1"/>
  <c r="E350" i="1"/>
  <c r="H349" i="1"/>
  <c r="F349" i="1"/>
  <c r="G349" i="1" s="1"/>
  <c r="E349" i="1"/>
  <c r="H348" i="1"/>
  <c r="H352" i="1" s="1"/>
  <c r="F348" i="1"/>
  <c r="G348" i="1" s="1"/>
  <c r="E348" i="1"/>
  <c r="E352" i="1" s="1"/>
  <c r="D341" i="1"/>
  <c r="E297" i="1"/>
  <c r="H296" i="1"/>
  <c r="F296" i="1"/>
  <c r="E296" i="1"/>
  <c r="H295" i="1"/>
  <c r="F295" i="1"/>
  <c r="E295" i="1"/>
  <c r="H294" i="1"/>
  <c r="H297" i="1" s="1"/>
  <c r="F294" i="1"/>
  <c r="F297" i="1" s="1"/>
  <c r="G297" i="1" s="1"/>
  <c r="E294" i="1"/>
  <c r="F252" i="1"/>
  <c r="G252" i="1" s="1"/>
  <c r="H251" i="1"/>
  <c r="F251" i="1"/>
  <c r="E251" i="1"/>
  <c r="H250" i="1"/>
  <c r="F250" i="1"/>
  <c r="E250" i="1"/>
  <c r="H249" i="1"/>
  <c r="H252" i="1" s="1"/>
  <c r="F249" i="1"/>
  <c r="E249" i="1"/>
  <c r="E252" i="1" s="1"/>
  <c r="H207" i="1"/>
  <c r="D207" i="1"/>
  <c r="G206" i="1"/>
  <c r="H205" i="1"/>
  <c r="G205" i="1"/>
  <c r="F205" i="1"/>
  <c r="E205" i="1"/>
  <c r="H204" i="1"/>
  <c r="F204" i="1"/>
  <c r="F207" i="1" s="1"/>
  <c r="G207" i="1" s="1"/>
  <c r="E204" i="1"/>
  <c r="E207" i="1" s="1"/>
  <c r="D184" i="1"/>
  <c r="H182" i="1"/>
  <c r="F182" i="1"/>
  <c r="G182" i="1" s="1"/>
  <c r="E182" i="1"/>
  <c r="H181" i="1"/>
  <c r="F181" i="1"/>
  <c r="E181" i="1"/>
  <c r="H180" i="1"/>
  <c r="F180" i="1"/>
  <c r="E180" i="1"/>
  <c r="H179" i="1"/>
  <c r="H178" i="1" s="1"/>
  <c r="F179" i="1"/>
  <c r="F178" i="1" s="1"/>
  <c r="G178" i="1" s="1"/>
  <c r="E179" i="1"/>
  <c r="E178" i="1" s="1"/>
  <c r="E184" i="1" s="1"/>
  <c r="H177" i="1"/>
  <c r="G177" i="1"/>
  <c r="F177" i="1"/>
  <c r="E177" i="1"/>
  <c r="H176" i="1"/>
  <c r="F176" i="1"/>
  <c r="E176" i="1"/>
  <c r="H175" i="1"/>
  <c r="H184" i="1" s="1"/>
  <c r="F175" i="1"/>
  <c r="F184" i="1" s="1"/>
  <c r="G184" i="1" s="1"/>
  <c r="E175" i="1"/>
  <c r="D150" i="1"/>
  <c r="H147" i="1"/>
  <c r="H146" i="1"/>
  <c r="H145" i="1"/>
  <c r="F145" i="1"/>
  <c r="I144" i="1"/>
  <c r="G144" i="1"/>
  <c r="H144" i="1" s="1"/>
  <c r="F144" i="1"/>
  <c r="I143" i="1"/>
  <c r="G143" i="1"/>
  <c r="H143" i="1" s="1"/>
  <c r="F143" i="1"/>
  <c r="I142" i="1"/>
  <c r="G142" i="1"/>
  <c r="H142" i="1" s="1"/>
  <c r="F142" i="1"/>
  <c r="I141" i="1"/>
  <c r="G141" i="1"/>
  <c r="H141" i="1" s="1"/>
  <c r="F141" i="1"/>
  <c r="I140" i="1"/>
  <c r="G140" i="1"/>
  <c r="H140" i="1" s="1"/>
  <c r="H139" i="1" s="1"/>
  <c r="F140" i="1"/>
  <c r="F139" i="1" s="1"/>
  <c r="I139" i="1"/>
  <c r="G139" i="1"/>
  <c r="E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I134" i="1"/>
  <c r="G134" i="1"/>
  <c r="G133" i="1" s="1"/>
  <c r="F134" i="1"/>
  <c r="E134" i="1"/>
  <c r="I133" i="1"/>
  <c r="E133" i="1"/>
  <c r="I132" i="1"/>
  <c r="H132" i="1"/>
  <c r="F132" i="1"/>
  <c r="H131" i="1"/>
  <c r="I130" i="1"/>
  <c r="G130" i="1"/>
  <c r="H130" i="1" s="1"/>
  <c r="F130" i="1"/>
  <c r="I129" i="1"/>
  <c r="I128" i="1" s="1"/>
  <c r="I150" i="1" s="1"/>
  <c r="G129" i="1"/>
  <c r="H129" i="1" s="1"/>
  <c r="F129" i="1"/>
  <c r="F128" i="1"/>
  <c r="E128" i="1"/>
  <c r="E150" i="1" s="1"/>
  <c r="C126" i="1"/>
  <c r="H106" i="1"/>
  <c r="H105" i="1"/>
  <c r="H104" i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G97" i="1"/>
  <c r="G96" i="1" s="1"/>
  <c r="G95" i="1" s="1"/>
  <c r="F97" i="1"/>
  <c r="F96" i="1" s="1"/>
  <c r="F95" i="1" s="1"/>
  <c r="I96" i="1"/>
  <c r="I95" i="1" s="1"/>
  <c r="E96" i="1"/>
  <c r="E95" i="1" s="1"/>
  <c r="D96" i="1"/>
  <c r="D95" i="1"/>
  <c r="D107" i="1" s="1"/>
  <c r="I94" i="1"/>
  <c r="G94" i="1"/>
  <c r="H94" i="1" s="1"/>
  <c r="F94" i="1"/>
  <c r="I93" i="1"/>
  <c r="I92" i="1" s="1"/>
  <c r="G93" i="1"/>
  <c r="H93" i="1" s="1"/>
  <c r="F93" i="1"/>
  <c r="G92" i="1"/>
  <c r="F92" i="1"/>
  <c r="E92" i="1"/>
  <c r="E107" i="1" s="1"/>
  <c r="C89" i="1"/>
  <c r="H85" i="1"/>
  <c r="F85" i="1"/>
  <c r="D85" i="1"/>
  <c r="G61" i="1"/>
  <c r="G60" i="1"/>
  <c r="H55" i="1"/>
  <c r="I32" i="1" s="1"/>
  <c r="G55" i="1"/>
  <c r="F55" i="1"/>
  <c r="E55" i="1"/>
  <c r="E44" i="1"/>
  <c r="D44" i="1"/>
  <c r="H43" i="1"/>
  <c r="H42" i="1"/>
  <c r="H41" i="1"/>
  <c r="H40" i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F34" i="1" s="1"/>
  <c r="I35" i="1"/>
  <c r="G35" i="1"/>
  <c r="H35" i="1" s="1"/>
  <c r="F35" i="1"/>
  <c r="I33" i="1"/>
  <c r="H33" i="1"/>
  <c r="G33" i="1"/>
  <c r="F33" i="1"/>
  <c r="G32" i="1"/>
  <c r="H32" i="1" s="1"/>
  <c r="F32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F28" i="1"/>
  <c r="I25" i="1"/>
  <c r="H25" i="1"/>
  <c r="G25" i="1"/>
  <c r="F25" i="1"/>
  <c r="I24" i="1"/>
  <c r="G24" i="1"/>
  <c r="G23" i="1" s="1"/>
  <c r="F24" i="1"/>
  <c r="F23" i="1" s="1"/>
  <c r="I23" i="1"/>
  <c r="H16" i="1"/>
  <c r="F16" i="1"/>
  <c r="D16" i="1"/>
  <c r="H134" i="1" l="1"/>
  <c r="H133" i="1" s="1"/>
  <c r="F27" i="1"/>
  <c r="F26" i="1" s="1"/>
  <c r="F44" i="1" s="1"/>
  <c r="I27" i="1"/>
  <c r="I34" i="1"/>
  <c r="I26" i="1" s="1"/>
  <c r="I44" i="1" s="1"/>
  <c r="G34" i="1"/>
  <c r="H34" i="1" s="1"/>
  <c r="G27" i="1"/>
  <c r="G26" i="1" s="1"/>
  <c r="G44" i="1" s="1"/>
  <c r="F389" i="1"/>
  <c r="F421" i="1"/>
  <c r="H92" i="1"/>
  <c r="H107" i="1" s="1"/>
  <c r="F133" i="1"/>
  <c r="F150" i="1" s="1"/>
  <c r="F107" i="1"/>
  <c r="E421" i="1"/>
  <c r="G107" i="1"/>
  <c r="I107" i="1"/>
  <c r="H128" i="1"/>
  <c r="H150" i="1" s="1"/>
  <c r="H24" i="1"/>
  <c r="H23" i="1" s="1"/>
  <c r="H28" i="1"/>
  <c r="H27" i="1" s="1"/>
  <c r="H26" i="1" s="1"/>
  <c r="H97" i="1"/>
  <c r="H96" i="1" s="1"/>
  <c r="H95" i="1" s="1"/>
  <c r="H381" i="1"/>
  <c r="H378" i="1" s="1"/>
  <c r="H389" i="1" s="1"/>
  <c r="G175" i="1"/>
  <c r="G204" i="1"/>
  <c r="F352" i="1"/>
  <c r="G352" i="1" s="1"/>
  <c r="G128" i="1"/>
  <c r="G150" i="1" s="1"/>
  <c r="H44" i="1" l="1"/>
</calcChain>
</file>

<file path=xl/sharedStrings.xml><?xml version="1.0" encoding="utf-8"?>
<sst xmlns="http://schemas.openxmlformats.org/spreadsheetml/2006/main" count="358" uniqueCount="150">
  <si>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</si>
  <si>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</si>
  <si>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</si>
  <si>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</si>
  <si>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</si>
  <si>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</si>
  <si>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</si>
  <si>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</si>
  <si>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</si>
  <si>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</si>
  <si>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</si>
  <si>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</si>
  <si>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</si>
  <si>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</si>
  <si>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</si>
  <si>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</si>
  <si>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</si>
  <si>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</si>
  <si>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</si>
  <si>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</si>
  <si>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</si>
  <si>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</si>
  <si>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</si>
  <si>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</si>
  <si>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</si>
  <si>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</si>
  <si>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</si>
  <si>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</si>
  <si>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</si>
  <si>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</si>
  <si>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</si>
  <si>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</si>
  <si>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</si>
  <si>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</si>
  <si>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</si>
  <si>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</si>
  <si>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</si>
  <si>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</si>
  <si>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</si>
  <si>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</si>
  <si>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</si>
  <si>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</si>
  <si>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</si>
  <si>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</si>
  <si>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</si>
  <si>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</si>
  <si>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</si>
  <si>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</si>
  <si>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</si>
  <si>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</si>
  <si>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</si>
  <si>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</si>
  <si>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</si>
  <si>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</si>
  <si>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</si>
  <si>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</si>
  <si>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</si>
  <si>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</si>
  <si>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</si>
  <si>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</si>
  <si>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</si>
  <si>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</si>
  <si>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</si>
  <si>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</si>
  <si>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</si>
  <si>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</si>
  <si>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</si>
  <si>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</si>
  <si>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</si>
  <si>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</si>
  <si>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</si>
  <si>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</si>
  <si>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</si>
  <si>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</si>
  <si>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</si>
  <si>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</si>
  <si>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</si>
  <si>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</si>
  <si>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</si>
  <si>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</si>
  <si>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</si>
  <si>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</si>
  <si>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</si>
  <si>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</si>
  <si>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</si>
  <si>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</si>
  <si>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</si>
  <si>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</si>
  <si>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</si>
  <si>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</si>
  <si>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</si>
  <si>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</si>
  <si>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</si>
  <si>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</si>
  <si>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</si>
  <si>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</si>
  <si>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</si>
  <si>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</si>
  <si>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</si>
  <si>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</si>
  <si>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</si>
  <si>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</si>
  <si>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</si>
  <si>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</si>
  <si>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</si>
  <si>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</si>
  <si>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</si>
  <si>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</si>
  <si>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</si>
  <si>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</si>
  <si>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</si>
  <si>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</si>
  <si>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</si>
  <si>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</si>
  <si>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</si>
  <si>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</si>
  <si>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</si>
  <si>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</si>
  <si>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</si>
  <si>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</si>
  <si>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</si>
  <si>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</si>
  <si>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</si>
  <si>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</si>
  <si>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</si>
  <si>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</si>
  <si>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</si>
  <si>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</si>
  <si>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</si>
  <si>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</si>
  <si>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</si>
  <si>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</si>
  <si>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</si>
  <si>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</si>
  <si>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</si>
  <si>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</si>
  <si>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</si>
  <si>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</si>
  <si>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</si>
  <si>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t>FANGST AV TORSK, HYSE, SEI, BLÅKVEITE, SNABELUER, LANGE, BROSME OG REKER I 2023</t>
  </si>
  <si>
    <t>Grunnet endringer i reguleringen, er fangstene ikke avregnet periodekvoter. Fangsttallene gjelder for hele 2023.</t>
  </si>
  <si>
    <t>Statistikk i henhold til ny regulering kommer på et senere tidspunkt.</t>
  </si>
  <si>
    <t>FANGST UKE 37</t>
  </si>
  <si>
    <t>FANGST T.O.M UKE 37</t>
  </si>
  <si>
    <t>RESTKVOTER UKE 37</t>
  </si>
  <si>
    <t>FANGST T.O.M UKE 37 2022</t>
  </si>
  <si>
    <r>
      <t xml:space="preserve">3 </t>
    </r>
    <r>
      <rPr>
        <sz val="9"/>
        <color indexed="8"/>
        <rFont val="Calibri"/>
        <family val="2"/>
      </rPr>
      <t>Registrert rekreasjonsfiske utgjør 700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</si>
  <si>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66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</si>
  <si>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6 508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</si>
  <si>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637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</si>
</sst>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08"/>
  <sheetViews>
    <sheetView showGridLines="0" tabSelected="1" showRuler="0" view="pageLayout" zoomScale="85" zoomScaleNormal="85" zoomScaleSheetLayoutView="100" zoomScalePageLayoutView="85" workbookViewId="0"/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0" t="s">
        <v>139</v>
      </c>
      <c r="C2" s="291"/>
      <c r="D2" s="291"/>
      <c r="E2" s="291"/>
      <c r="F2" s="291"/>
      <c r="G2" s="291"/>
      <c r="H2" s="291"/>
      <c r="I2" s="291"/>
      <c r="J2" s="292"/>
    </row>
    <row r="3" spans="1:10" ht="14.85" customHeight="1" x14ac:dyDescent="0.25">
      <c r="A3" s="1"/>
      <c r="B3" s="1"/>
      <c r="C3" s="1" t="s">
        <v>119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119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119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119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119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3"/>
      <c r="C9" s="294"/>
      <c r="D9" s="294"/>
      <c r="E9" s="294"/>
      <c r="F9" s="294"/>
      <c r="G9" s="294"/>
      <c r="H9" s="294"/>
      <c r="I9" s="294"/>
      <c r="J9" s="295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6" t="s">
        <v>1</v>
      </c>
      <c r="D11" s="297"/>
      <c r="E11" s="296" t="s">
        <v>2</v>
      </c>
      <c r="F11" s="297"/>
      <c r="G11" s="296" t="s">
        <v>3</v>
      </c>
      <c r="H11" s="297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135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554.58600000000001</v>
      </c>
      <c r="G23" s="28">
        <f t="shared" si="0"/>
        <v>56368.004460000004</v>
      </c>
      <c r="H23" s="11">
        <f t="shared" si="0"/>
        <v>30458.99554</v>
      </c>
      <c r="I23" s="11">
        <f t="shared" si="0"/>
        <v>73365.629539999994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541.8045</f>
        <v>541.80449999999996</v>
      </c>
      <c r="G24" s="23">
        <f>55952.22761</f>
        <v>55952.227610000002</v>
      </c>
      <c r="H24" s="23">
        <f>E24-G24</f>
        <v>30092.772389999998</v>
      </c>
      <c r="I24" s="23">
        <f>72965.99607</f>
        <v>72965.996069999994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12.7815</f>
        <v>12.781499999999999</v>
      </c>
      <c r="G25" s="23">
        <f>415.77685</f>
        <v>415.77685000000002</v>
      </c>
      <c r="H25" s="23">
        <f>E25-G25</f>
        <v>366.22314999999998</v>
      </c>
      <c r="I25" s="23">
        <f>399.63347</f>
        <v>399.63346999999999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720.28468999999996</v>
      </c>
      <c r="G26" s="11">
        <f t="shared" si="1"/>
        <v>176143.04624</v>
      </c>
      <c r="H26" s="11">
        <f t="shared" si="1"/>
        <v>21426.953760000004</v>
      </c>
      <c r="I26" s="11">
        <f t="shared" si="1"/>
        <v>211864.90835000001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596.05836999999997</v>
      </c>
      <c r="G27" s="134">
        <f t="shared" ref="G27:I27" si="2">G28+G29+G30+G31+G32</f>
        <v>139054.42053</v>
      </c>
      <c r="H27" s="134">
        <f t="shared" si="2"/>
        <v>13596.579470000004</v>
      </c>
      <c r="I27" s="134">
        <f t="shared" si="2"/>
        <v>172476.76347000001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80.21774</f>
        <v>80.217740000000006</v>
      </c>
      <c r="G28" s="129">
        <f>37145.6541 - F57</f>
        <v>35543.6541</v>
      </c>
      <c r="H28" s="129">
        <f t="shared" ref="H28:H40" si="3">E28-G28</f>
        <v>4005.3459000000003</v>
      </c>
      <c r="I28" s="129">
        <f>43176.72632 - H57</f>
        <v>41241.726320000002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174.6759</f>
        <v>174.67590000000001</v>
      </c>
      <c r="G29" s="129">
        <f>39291.27138 - F58</f>
        <v>36927.271379999998</v>
      </c>
      <c r="H29" s="129">
        <f t="shared" si="3"/>
        <v>3836.7286200000017</v>
      </c>
      <c r="I29" s="129">
        <f>47662.5638 - H58</f>
        <v>46001.563800000004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91.64879</f>
        <v>91.648790000000005</v>
      </c>
      <c r="G30" s="129">
        <f>37270.44106 - F59</f>
        <v>36142.441059999997</v>
      </c>
      <c r="H30" s="129">
        <f t="shared" si="3"/>
        <v>1124.5589400000026</v>
      </c>
      <c r="I30" s="129">
        <f>47519.32915 - H59</f>
        <v>46564.329149999998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24.51594</f>
        <v>24.515940000000001</v>
      </c>
      <c r="G31" s="129">
        <f>25156.05399 - F60</f>
        <v>24625.05399</v>
      </c>
      <c r="H31" s="129">
        <f t="shared" si="3"/>
        <v>781.94600999999966</v>
      </c>
      <c r="I31" s="129">
        <f>34051.1442 - H60</f>
        <v>33462.144200000002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225</v>
      </c>
      <c r="G32" s="129">
        <f>F55</f>
        <v>5816</v>
      </c>
      <c r="H32" s="129">
        <f t="shared" si="3"/>
        <v>3848</v>
      </c>
      <c r="I32" s="129">
        <f>H55</f>
        <v>5207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46.9406</f>
        <v>46.940600000000003</v>
      </c>
      <c r="G33" s="134">
        <f>15899.79023</f>
        <v>15899.790230000001</v>
      </c>
      <c r="H33" s="134">
        <f t="shared" si="3"/>
        <v>7686.2097699999995</v>
      </c>
      <c r="I33" s="134">
        <f>18617.03137</f>
        <v>18617.031370000001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77.285719999999998</v>
      </c>
      <c r="G34" s="134">
        <f>G35+G36</f>
        <v>21188.835480000002</v>
      </c>
      <c r="H34" s="134">
        <f t="shared" si="3"/>
        <v>144.16451999999845</v>
      </c>
      <c r="I34" s="134">
        <f>I35+I36</f>
        <v>20771.113509999999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46.28572</f>
        <v>46.285719999999998</v>
      </c>
      <c r="G35" s="134">
        <f>25038.83548 - F61 - F62</f>
        <v>20657.835480000002</v>
      </c>
      <c r="H35" s="129">
        <f t="shared" si="3"/>
        <v>-524.83548000000155</v>
      </c>
      <c r="I35" s="129">
        <f>21853.11351 - H61 - H62</f>
        <v>20182.113509999999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31</v>
      </c>
      <c r="G36" s="73">
        <f>F60</f>
        <v>531</v>
      </c>
      <c r="H36" s="73">
        <f t="shared" si="3"/>
        <v>669</v>
      </c>
      <c r="I36" s="73">
        <f>H60</f>
        <v>589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746.7916</f>
        <v>746.79160000000002</v>
      </c>
      <c r="H37" s="141">
        <f t="shared" si="3"/>
        <v>2253.2084</v>
      </c>
      <c r="I37" s="141">
        <f>333.80295</f>
        <v>333.80295000000001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0</f>
        <v>0</v>
      </c>
      <c r="G38" s="100">
        <f>488.24024</f>
        <v>488.24023999999997</v>
      </c>
      <c r="H38" s="100">
        <f t="shared" si="3"/>
        <v>362.75976000000003</v>
      </c>
      <c r="I38" s="100">
        <f>460.47613</f>
        <v>460.47613000000001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6</v>
      </c>
      <c r="G39" s="100">
        <f>F61</f>
        <v>4381</v>
      </c>
      <c r="H39" s="100">
        <f t="shared" si="3"/>
        <v>-1333</v>
      </c>
      <c r="I39" s="100">
        <f>H61</f>
        <v>1671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2.88056</f>
        <v>2.88056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1283.75425</v>
      </c>
      <c r="G44" s="78">
        <f t="shared" si="4"/>
        <v>245206.64354000002</v>
      </c>
      <c r="H44" s="78">
        <f t="shared" si="4"/>
        <v>53489.356459999981</v>
      </c>
      <c r="I44" s="78">
        <f t="shared" si="4"/>
        <v>294816.75540000002</v>
      </c>
      <c r="J44" s="242"/>
    </row>
    <row r="45" spans="1:13" ht="14.1" customHeight="1" x14ac:dyDescent="0.25">
      <c r="A45" s="101"/>
      <c r="B45" s="24"/>
      <c r="C45" s="80" t="s">
        <v>127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146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126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8" t="s">
        <v>44</v>
      </c>
      <c r="D52" s="298"/>
      <c r="E52" s="298"/>
      <c r="F52" s="298"/>
      <c r="G52" s="298"/>
      <c r="H52" s="298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142</v>
      </c>
      <c r="F54" s="68" t="s">
        <v>143</v>
      </c>
      <c r="G54" s="68" t="s">
        <v>144</v>
      </c>
      <c r="H54" s="68" t="s">
        <v>145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9">
        <v>9840</v>
      </c>
      <c r="E55" s="11">
        <f>E59+E58+E57+E56</f>
        <v>225</v>
      </c>
      <c r="F55" s="11">
        <f>F59+F58+F57+F56</f>
        <v>5816</v>
      </c>
      <c r="G55" s="299">
        <f>D55-F55</f>
        <v>4024</v>
      </c>
      <c r="H55" s="11">
        <f>H59+H58+H57+H56</f>
        <v>5207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300"/>
      <c r="E56" s="129">
        <v>48</v>
      </c>
      <c r="F56" s="129">
        <v>722</v>
      </c>
      <c r="G56" s="300"/>
      <c r="H56" s="129">
        <v>656</v>
      </c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300"/>
      <c r="E57" s="129">
        <v>106</v>
      </c>
      <c r="F57" s="129">
        <v>1602</v>
      </c>
      <c r="G57" s="300"/>
      <c r="H57" s="129">
        <v>1935</v>
      </c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300"/>
      <c r="E58" s="129">
        <v>53</v>
      </c>
      <c r="F58" s="129">
        <v>2364</v>
      </c>
      <c r="G58" s="300"/>
      <c r="H58" s="129">
        <v>1661</v>
      </c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301"/>
      <c r="E59" s="194">
        <v>18</v>
      </c>
      <c r="F59" s="194">
        <v>1128</v>
      </c>
      <c r="G59" s="301"/>
      <c r="H59" s="194">
        <v>955</v>
      </c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>
        <v>31</v>
      </c>
      <c r="F60" s="97">
        <v>531</v>
      </c>
      <c r="G60" s="97">
        <f>D60-F60</f>
        <v>669</v>
      </c>
      <c r="H60" s="97">
        <v>589</v>
      </c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6</v>
      </c>
      <c r="F61" s="141">
        <v>4381</v>
      </c>
      <c r="G61" s="141">
        <f>D61-F61</f>
        <v>-1381</v>
      </c>
      <c r="H61" s="141">
        <v>1671</v>
      </c>
      <c r="I61" s="256"/>
      <c r="J61" s="242"/>
    </row>
    <row r="62" spans="1:10" ht="14.1" customHeight="1" x14ac:dyDescent="0.25">
      <c r="A62" s="101"/>
      <c r="B62" s="24"/>
      <c r="C62" s="80" t="s">
        <v>123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119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6" t="s">
        <v>1</v>
      </c>
      <c r="D81" s="297"/>
      <c r="E81" s="296" t="s">
        <v>2</v>
      </c>
      <c r="F81" s="302"/>
      <c r="G81" s="296" t="s">
        <v>3</v>
      </c>
      <c r="H81" s="297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136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142</v>
      </c>
      <c r="G91" s="15" t="s">
        <v>143</v>
      </c>
      <c r="H91" s="15" t="s">
        <v>144</v>
      </c>
      <c r="I91" s="15" t="s">
        <v>145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16.3996</v>
      </c>
      <c r="G92" s="11">
        <f t="shared" si="5"/>
        <v>39469.716229999998</v>
      </c>
      <c r="H92" s="11">
        <f t="shared" si="5"/>
        <v>-4670.7162300000009</v>
      </c>
      <c r="I92" s="11">
        <f t="shared" si="5"/>
        <v>36414.266859999996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16.3996</f>
        <v>16.3996</v>
      </c>
      <c r="G93" s="23">
        <f>38962.21224</f>
        <v>38962.212240000001</v>
      </c>
      <c r="H93" s="23">
        <f>E93-G93</f>
        <v>-4975.2122400000007</v>
      </c>
      <c r="I93" s="23">
        <f>35699.44639</f>
        <v>35699.446389999997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0</f>
        <v>0</v>
      </c>
      <c r="G94" s="52">
        <f>507.50399</f>
        <v>507.50398999999999</v>
      </c>
      <c r="H94" s="52">
        <f>E94-G94</f>
        <v>304.49601000000001</v>
      </c>
      <c r="I94" s="52">
        <f>714.82047</f>
        <v>714.82047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302.36156</v>
      </c>
      <c r="G95" s="11">
        <f t="shared" si="6"/>
        <v>28589.488990000002</v>
      </c>
      <c r="H95" s="11">
        <f t="shared" si="6"/>
        <v>30910.511010000002</v>
      </c>
      <c r="I95" s="11">
        <f t="shared" si="6"/>
        <v>33479.075219999999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210.85925</v>
      </c>
      <c r="G96" s="134">
        <f t="shared" si="7"/>
        <v>20659.62559</v>
      </c>
      <c r="H96" s="134">
        <f t="shared" si="7"/>
        <v>23831.374410000004</v>
      </c>
      <c r="I96" s="134">
        <f t="shared" si="7"/>
        <v>26277.627789999999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93.60628</f>
        <v>93.606279999999998</v>
      </c>
      <c r="G97" s="129">
        <f>3106.71329</f>
        <v>3106.7132900000001</v>
      </c>
      <c r="H97" s="129">
        <f t="shared" ref="H97:H104" si="8">E97-G97</f>
        <v>8776.986710000001</v>
      </c>
      <c r="I97" s="129">
        <f>2956.55353</f>
        <v>2956.5535300000001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82.35346</f>
        <v>82.353459999999998</v>
      </c>
      <c r="G98" s="129">
        <f>6128.4859</f>
        <v>6128.4858999999997</v>
      </c>
      <c r="H98" s="129">
        <f t="shared" si="8"/>
        <v>6536.6141000000007</v>
      </c>
      <c r="I98" s="129">
        <f>8873.68274</f>
        <v>8873.6827400000002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20.65077</f>
        <v>20.650770000000001</v>
      </c>
      <c r="G99" s="129">
        <f>6314.92498</f>
        <v>6314.9249799999998</v>
      </c>
      <c r="H99" s="129">
        <f t="shared" si="8"/>
        <v>5650.6750200000006</v>
      </c>
      <c r="I99" s="129">
        <f>7310.0856</f>
        <v>7310.0856000000003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14.24874</f>
        <v>14.24874</v>
      </c>
      <c r="G100" s="129">
        <f>5109.50142</f>
        <v>5109.5014199999996</v>
      </c>
      <c r="H100" s="129">
        <f t="shared" si="8"/>
        <v>2867.0985800000008</v>
      </c>
      <c r="I100" s="129">
        <f>7137.30592</f>
        <v>7137.3059199999998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38.1134</f>
        <v>38.113399999999999</v>
      </c>
      <c r="G101" s="134">
        <f>6375.50759</f>
        <v>6375.5075900000002</v>
      </c>
      <c r="H101" s="134">
        <f t="shared" si="8"/>
        <v>4015.4924099999998</v>
      </c>
      <c r="I101" s="134">
        <f>5892.55106</f>
        <v>5892.5510599999998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53.38891</f>
        <v>53.388910000000003</v>
      </c>
      <c r="G102" s="77">
        <f>1554.35581</f>
        <v>1554.35581</v>
      </c>
      <c r="H102" s="77">
        <f t="shared" si="8"/>
        <v>3063.64419</v>
      </c>
      <c r="I102" s="77">
        <f>1308.89637</f>
        <v>1308.8963699999999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0.09576</f>
        <v>9.5759999999999998E-2</v>
      </c>
      <c r="G103" s="100">
        <f>11.34443</f>
        <v>11.344429999999999</v>
      </c>
      <c r="H103" s="100">
        <f t="shared" si="8"/>
        <v>308.65557000000001</v>
      </c>
      <c r="I103" s="100">
        <f>22.00499</f>
        <v>22.004989999999999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0.71361</f>
        <v>0.71360999999999997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319.57053000000002</v>
      </c>
      <c r="G107" s="78">
        <f t="shared" si="9"/>
        <v>68379.317449999988</v>
      </c>
      <c r="H107" s="78">
        <f t="shared" si="9"/>
        <v>26589.682550000012</v>
      </c>
      <c r="I107" s="78">
        <f t="shared" si="9"/>
        <v>70259.081850000002</v>
      </c>
      <c r="J107" s="242"/>
    </row>
    <row r="108" spans="1:10" ht="13.5" customHeight="1" x14ac:dyDescent="0.25">
      <c r="A108" s="1"/>
      <c r="B108" s="252"/>
      <c r="C108" s="80" t="s">
        <v>125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147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124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119</v>
      </c>
      <c r="D113" s="226"/>
      <c r="E113" s="226"/>
      <c r="F113" s="226"/>
      <c r="G113" s="226"/>
      <c r="H113" s="226"/>
      <c r="I113" s="101"/>
      <c r="J113" s="101" t="s">
        <v>119</v>
      </c>
    </row>
    <row r="114" spans="1:10" ht="14.25" customHeight="1" x14ac:dyDescent="0.25">
      <c r="A114" s="1"/>
      <c r="B114" s="101"/>
      <c r="C114" s="101" t="s">
        <v>119</v>
      </c>
      <c r="D114" s="101" t="s">
        <v>119</v>
      </c>
      <c r="E114" s="101"/>
      <c r="F114" s="101"/>
      <c r="G114" s="101"/>
      <c r="H114" s="101"/>
      <c r="I114" s="101"/>
      <c r="J114" s="101" t="s">
        <v>119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212994</v>
      </c>
      <c r="E119" s="102" t="s">
        <v>4</v>
      </c>
      <c r="F119" s="116">
        <v>77294</v>
      </c>
      <c r="G119" s="117" t="s">
        <v>5</v>
      </c>
      <c r="H119" s="116">
        <v>8732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79383</v>
      </c>
      <c r="G120" s="117" t="s">
        <v>8</v>
      </c>
      <c r="H120" s="119">
        <v>59537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1700</v>
      </c>
      <c r="E121" s="117" t="s">
        <v>60</v>
      </c>
      <c r="F121" s="119">
        <v>52226</v>
      </c>
      <c r="G121" s="117" t="s">
        <v>11</v>
      </c>
      <c r="H121" s="119">
        <v>11114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212994</v>
      </c>
      <c r="G123" s="180" t="s">
        <v>7</v>
      </c>
      <c r="H123" s="35">
        <v>79383</v>
      </c>
      <c r="I123" s="181"/>
      <c r="J123" s="242"/>
    </row>
    <row r="124" spans="1:10" ht="12" customHeight="1" x14ac:dyDescent="0.25">
      <c r="A124" s="101"/>
      <c r="B124" s="24"/>
      <c r="C124" s="101" t="s">
        <v>128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142</v>
      </c>
      <c r="G127" s="15" t="s">
        <v>143</v>
      </c>
      <c r="H127" s="15" t="s">
        <v>144</v>
      </c>
      <c r="I127" s="15" t="s">
        <v>145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77294</v>
      </c>
      <c r="E128" s="28">
        <f t="shared" ref="E128" si="10">E129+E130+E131</f>
        <v>70707</v>
      </c>
      <c r="F128" s="11">
        <f t="shared" ref="F128:I128" si="11">F129+F130+F131</f>
        <v>1747.9219499999999</v>
      </c>
      <c r="G128" s="11">
        <f t="shared" si="11"/>
        <v>48656.888930000001</v>
      </c>
      <c r="H128" s="11">
        <f t="shared" si="11"/>
        <v>22050.111069999999</v>
      </c>
      <c r="I128" s="11">
        <f t="shared" si="11"/>
        <v>47691.621310000002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61835</v>
      </c>
      <c r="E129" s="48">
        <v>56225</v>
      </c>
      <c r="F129" s="23">
        <f>1579.74165</f>
        <v>1579.7416499999999</v>
      </c>
      <c r="G129" s="23">
        <f>43041.43138</f>
        <v>43041.431380000002</v>
      </c>
      <c r="H129" s="23">
        <f>E129-G129</f>
        <v>13183.568619999998</v>
      </c>
      <c r="I129" s="23">
        <f>40689.3959</f>
        <v>40689.395900000003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14959</v>
      </c>
      <c r="E130" s="48">
        <v>13982</v>
      </c>
      <c r="F130" s="23">
        <f>168.1803</f>
        <v>168.18029999999999</v>
      </c>
      <c r="G130" s="23">
        <f>5615.45755</f>
        <v>5615.4575500000001</v>
      </c>
      <c r="H130" s="23">
        <f>E130-G130</f>
        <v>8366.5424500000008</v>
      </c>
      <c r="I130" s="23">
        <f>7002.22541</f>
        <v>7002.22541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52226</v>
      </c>
      <c r="E132" s="93">
        <v>49285</v>
      </c>
      <c r="F132" s="97">
        <f>221.309</f>
        <v>221.309</v>
      </c>
      <c r="G132" s="97">
        <f>38101.65518+6508.18011</f>
        <v>44609.835290000003</v>
      </c>
      <c r="H132" s="97">
        <f>E132-G132</f>
        <v>4675.1647099999973</v>
      </c>
      <c r="I132" s="97">
        <f>39359.61548</f>
        <v>39359.61548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80892</v>
      </c>
      <c r="E133" s="145">
        <f>E134+E139+E142</f>
        <v>81112</v>
      </c>
      <c r="F133" s="96">
        <f>F134+F139+F142</f>
        <v>1136.7566200000001</v>
      </c>
      <c r="G133" s="96">
        <f t="shared" ref="G133" si="12">G134+G139+G142</f>
        <v>57463.001180000007</v>
      </c>
      <c r="H133" s="96">
        <f>H134+H139+H142</f>
        <v>23648.998820000001</v>
      </c>
      <c r="I133" s="96">
        <f>I134+I139+I142</f>
        <v>58185.043149999998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61046</v>
      </c>
      <c r="E134" s="125">
        <f>E135+E136+E137+E138</f>
        <v>59633</v>
      </c>
      <c r="F134" s="127">
        <f>F135+F136+F137+F138</f>
        <v>797.28342000000009</v>
      </c>
      <c r="G134" s="127">
        <f>G135+G136+G138+G137</f>
        <v>44168.075230000002</v>
      </c>
      <c r="H134" s="127">
        <f>H135+H136+H137+H138</f>
        <v>15464.924769999998</v>
      </c>
      <c r="I134" s="127">
        <f>I135+I136+I137+I138</f>
        <v>45805.18045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16203</v>
      </c>
      <c r="E135" s="65">
        <v>17538</v>
      </c>
      <c r="F135" s="129">
        <f>284.6659</f>
        <v>284.66590000000002</v>
      </c>
      <c r="G135" s="129">
        <v>7974.5479500000001</v>
      </c>
      <c r="H135" s="129">
        <f>E135-G135</f>
        <v>9563.4520499999999</v>
      </c>
      <c r="I135" s="129">
        <f>7414.75522</f>
        <v>7414.75522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16593</v>
      </c>
      <c r="E136" s="65">
        <v>15118</v>
      </c>
      <c r="F136" s="129">
        <f>274.62057</f>
        <v>274.62056999999999</v>
      </c>
      <c r="G136" s="129">
        <v>13095.758740000001</v>
      </c>
      <c r="H136" s="129">
        <f>E136-G136</f>
        <v>2022.2412599999989</v>
      </c>
      <c r="I136" s="129">
        <f>10520.80323</f>
        <v>10520.80323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15164</v>
      </c>
      <c r="E137" s="65">
        <v>15056</v>
      </c>
      <c r="F137" s="129">
        <f>157.81491</f>
        <v>157.81491</v>
      </c>
      <c r="G137" s="129">
        <v>12896.475750000001</v>
      </c>
      <c r="H137" s="129">
        <f>E137-G137</f>
        <v>2159.5242499999986</v>
      </c>
      <c r="I137" s="129">
        <f>14787.45151</f>
        <v>14787.451510000001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13085</v>
      </c>
      <c r="E138" s="65">
        <v>11921</v>
      </c>
      <c r="F138" s="129">
        <f>80.18204</f>
        <v>80.182040000000001</v>
      </c>
      <c r="G138" s="129">
        <v>10201.29279</v>
      </c>
      <c r="H138" s="129">
        <f>E138-G138</f>
        <v>1719.7072100000005</v>
      </c>
      <c r="I138" s="129">
        <f>13082.17049</f>
        <v>13082.17049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8732</v>
      </c>
      <c r="E139" s="60">
        <f>E141+E140</f>
        <v>9451</v>
      </c>
      <c r="F139" s="134">
        <f>SUM(F140:F141)</f>
        <v>67.677750000000003</v>
      </c>
      <c r="G139" s="134">
        <f>SUM(G140:G141)</f>
        <v>7015.7754099999993</v>
      </c>
      <c r="H139" s="134">
        <f>H140+H141</f>
        <v>2435.2245900000003</v>
      </c>
      <c r="I139" s="134">
        <f>SUM(I140:I141)</f>
        <v>6253.3562600000005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8232</v>
      </c>
      <c r="E140" s="65">
        <v>8951</v>
      </c>
      <c r="F140" s="129">
        <f>64.70175</f>
        <v>64.701750000000004</v>
      </c>
      <c r="G140" s="129">
        <f>6773.8928</f>
        <v>6773.8927999999996</v>
      </c>
      <c r="H140" s="129">
        <f t="shared" ref="H140:H147" si="13">E140-G140</f>
        <v>2177.1072000000004</v>
      </c>
      <c r="I140" s="129">
        <f>6003.50158</f>
        <v>6003.5015800000001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2.976</f>
        <v>2.976</v>
      </c>
      <c r="G141" s="129">
        <f>241.88261</f>
        <v>241.88261</v>
      </c>
      <c r="H141" s="129">
        <f t="shared" si="13"/>
        <v>258.11739</v>
      </c>
      <c r="I141" s="129">
        <f>249.85468</f>
        <v>249.85468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11114</v>
      </c>
      <c r="E142" s="63">
        <v>12028</v>
      </c>
      <c r="F142" s="77">
        <f>271.79545</f>
        <v>271.79545000000002</v>
      </c>
      <c r="G142" s="77">
        <f>6279.15054</f>
        <v>6279.1505399999996</v>
      </c>
      <c r="H142" s="77">
        <f t="shared" si="13"/>
        <v>5748.8494600000004</v>
      </c>
      <c r="I142" s="77">
        <f>6126.50644</f>
        <v>6126.5064400000001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0.47065</f>
        <v>0.47065000000000001</v>
      </c>
      <c r="G143" s="141">
        <f>31.4675</f>
        <v>31.467500000000001</v>
      </c>
      <c r="H143" s="141">
        <f t="shared" si="13"/>
        <v>105.5325</v>
      </c>
      <c r="I143" s="141">
        <f>23.42162</f>
        <v>23.421620000000001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262.581</f>
        <v>262.58100000000002</v>
      </c>
      <c r="H144" s="100">
        <f t="shared" si="13"/>
        <v>-12.581000000000017</v>
      </c>
      <c r="I144" s="100">
        <f>306.976</f>
        <v>306.976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5.78415</f>
        <v>5.7841500000000003</v>
      </c>
      <c r="G145" s="141">
        <v>2000</v>
      </c>
      <c r="H145" s="141">
        <f t="shared" si="13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3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3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4">D128+D132+D133+D143+D144+D145+D146+D147+D148</f>
        <v>212994</v>
      </c>
      <c r="E150" s="78">
        <f t="shared" si="14"/>
        <v>203686</v>
      </c>
      <c r="F150" s="78">
        <f>F128+F132+F133+F143+F144+F145+F146+F147+F148</f>
        <v>3112.2423700000004</v>
      </c>
      <c r="G150" s="78">
        <f>G128+G132+G133+G143+G144+G145+G146+G147+G148</f>
        <v>153023.7739</v>
      </c>
      <c r="H150" s="78">
        <f>H128+H132+H133+H143+H144+H145+H146+H147+H148</f>
        <v>50662.2261</v>
      </c>
      <c r="I150" s="78">
        <f>I128+I132+I133+I143+I144+I145+I146+I147+I148</f>
        <v>147566.67755999998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129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148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149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130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119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119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119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142</v>
      </c>
      <c r="F174" s="15" t="s">
        <v>143</v>
      </c>
      <c r="G174" s="56" t="s">
        <v>144</v>
      </c>
      <c r="H174" s="15" t="s">
        <v>145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15.40738</f>
        <v>15.40738</v>
      </c>
      <c r="F175" s="274">
        <f>1422.61499</f>
        <v>1422.61499</v>
      </c>
      <c r="G175" s="45">
        <f>D175-F175-F176</f>
        <v>1888.0129199999999</v>
      </c>
      <c r="H175" s="274">
        <f>1163.9238</f>
        <v>1163.9238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0</f>
        <v>0</v>
      </c>
      <c r="F176" s="154">
        <f>1677.37209</f>
        <v>1677.3720900000001</v>
      </c>
      <c r="G176" s="215"/>
      <c r="H176" s="154">
        <f>1418.93599</f>
        <v>1418.9359899999999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74.61014</f>
        <v>74.610140000000001</v>
      </c>
      <c r="G177" s="174">
        <f>D177-F177</f>
        <v>125.38986</v>
      </c>
      <c r="H177" s="174">
        <f>50.33974</f>
        <v>50.339739999999999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27.41366</v>
      </c>
      <c r="F178" s="183">
        <f>F179+F180+F181</f>
        <v>7966.9999100000005</v>
      </c>
      <c r="G178" s="183">
        <f>D178-F178</f>
        <v>-485.99991000000045</v>
      </c>
      <c r="H178" s="183">
        <f>H179+H180+H181</f>
        <v>7620.0838000000003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4.56794</f>
        <v>4.5679400000000001</v>
      </c>
      <c r="F179" s="129">
        <f>4154.16019</f>
        <v>4154.1601899999996</v>
      </c>
      <c r="G179" s="129"/>
      <c r="H179" s="129">
        <f>3959.43934</f>
        <v>3959.4393399999999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18.8516</f>
        <v>18.851600000000001</v>
      </c>
      <c r="F180" s="129">
        <f>2423.77983</f>
        <v>2423.7798299999999</v>
      </c>
      <c r="G180" s="129"/>
      <c r="H180" s="129">
        <f>2360.97208</f>
        <v>2360.97208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3.99412</f>
        <v>3.9941200000000001</v>
      </c>
      <c r="F181" s="194">
        <f>1389.05989</f>
        <v>1389.05989</v>
      </c>
      <c r="G181" s="194"/>
      <c r="H181" s="194">
        <f>1299.67238</f>
        <v>1299.67238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42.821039999999996</v>
      </c>
      <c r="F184" s="196">
        <f>F175+F176+F177+F178+F182+F183</f>
        <v>11141.59713</v>
      </c>
      <c r="G184" s="196">
        <f>D184-F184</f>
        <v>1593.4028699999999</v>
      </c>
      <c r="H184" s="196">
        <f>H175+H176+H177+H178+H182+H183</f>
        <v>10253.28333</v>
      </c>
      <c r="I184" s="165"/>
      <c r="J184" s="162"/>
    </row>
    <row r="185" spans="1:10" ht="42" customHeight="1" x14ac:dyDescent="0.25">
      <c r="A185" s="1"/>
      <c r="B185" s="200"/>
      <c r="C185" s="225" t="s">
        <v>131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119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119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119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132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133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134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142</v>
      </c>
      <c r="F203" s="68" t="s">
        <v>143</v>
      </c>
      <c r="G203" s="68" t="s">
        <v>144</v>
      </c>
      <c r="H203" s="68" t="s">
        <v>145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135.56821</f>
        <v>135.56820999999999</v>
      </c>
      <c r="F204" s="124">
        <f>40080.5079</f>
        <v>40080.507899999997</v>
      </c>
      <c r="G204" s="124">
        <f>D204-F204</f>
        <v>3758.4921000000031</v>
      </c>
      <c r="H204" s="124">
        <f>35051.95235</f>
        <v>35051.95235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1.2462</f>
        <v>1.2462</v>
      </c>
      <c r="F205" s="124">
        <f>59.26875</f>
        <v>59.268749999999997</v>
      </c>
      <c r="G205" s="124">
        <f>D205-F205</f>
        <v>40.731250000000003</v>
      </c>
      <c r="H205" s="124">
        <f>55.21281</f>
        <v>55.212809999999998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136.81440999999998</v>
      </c>
      <c r="F207" s="190">
        <f>SUM(F204:F206)</f>
        <v>40139.77665</v>
      </c>
      <c r="G207" s="190">
        <f>D207-F207</f>
        <v>3841.2233500000002</v>
      </c>
      <c r="H207" s="190">
        <f>SUM(H204:H206)</f>
        <v>35107.165159999997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119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21.75" customHeight="1" x14ac:dyDescent="0.35">
      <c r="A243" s="152"/>
      <c r="B243" s="1"/>
      <c r="C243" s="213" t="s">
        <v>137</v>
      </c>
      <c r="D243" s="172"/>
      <c r="E243" s="172"/>
      <c r="F243" s="172"/>
      <c r="G243" s="172"/>
      <c r="H243" s="1"/>
      <c r="I243" s="1"/>
      <c r="J243" s="1"/>
    </row>
    <row r="244" spans="1:10" ht="21.75" customHeight="1" x14ac:dyDescent="0.35">
      <c r="A244" s="152" t="s">
        <v>119</v>
      </c>
      <c r="B244" s="1"/>
      <c r="C244" s="213"/>
      <c r="D244" s="172"/>
      <c r="E244" s="172"/>
      <c r="F244" s="172"/>
      <c r="G244" s="172"/>
      <c r="H244" s="1"/>
      <c r="I244" s="1"/>
      <c r="J244" s="1"/>
    </row>
    <row r="245" spans="1:10" ht="12" customHeight="1" x14ac:dyDescent="0.25">
      <c r="A245" s="152"/>
      <c r="B245" s="140"/>
      <c r="C245" s="224"/>
      <c r="D245" s="235"/>
      <c r="E245" s="235"/>
      <c r="F245" s="235"/>
      <c r="G245" s="235"/>
      <c r="H245" s="156"/>
      <c r="I245" s="156"/>
      <c r="J245" s="164"/>
    </row>
    <row r="246" spans="1:10" ht="23.25" customHeight="1" x14ac:dyDescent="0.25">
      <c r="A246" s="1"/>
      <c r="B246" s="252"/>
      <c r="C246" s="18" t="s">
        <v>15</v>
      </c>
      <c r="D246" s="172"/>
      <c r="E246" s="172"/>
      <c r="F246" s="172"/>
      <c r="G246" s="1"/>
      <c r="H246" s="1"/>
      <c r="I246" s="1"/>
      <c r="J246" s="122"/>
    </row>
    <row r="247" spans="1:10" ht="15" customHeight="1" x14ac:dyDescent="0.25">
      <c r="A247" s="1"/>
      <c r="B247" s="252"/>
      <c r="C247" s="101"/>
      <c r="D247" s="172"/>
      <c r="E247" s="172"/>
      <c r="F247" s="172"/>
      <c r="G247" s="172"/>
      <c r="H247" s="1"/>
      <c r="I247" s="1"/>
      <c r="J247" s="122"/>
    </row>
    <row r="248" spans="1:10" ht="48.75" customHeight="1" x14ac:dyDescent="0.25">
      <c r="A248" s="1"/>
      <c r="B248" s="252"/>
      <c r="C248" s="68" t="s">
        <v>16</v>
      </c>
      <c r="D248" s="79" t="s">
        <v>2</v>
      </c>
      <c r="E248" s="68" t="s">
        <v>142</v>
      </c>
      <c r="F248" s="68" t="s">
        <v>143</v>
      </c>
      <c r="G248" s="68" t="s">
        <v>144</v>
      </c>
      <c r="H248" s="68" t="s">
        <v>145</v>
      </c>
      <c r="I248" s="1"/>
      <c r="J248" s="122"/>
    </row>
    <row r="249" spans="1:10" ht="15" customHeight="1" x14ac:dyDescent="0.25">
      <c r="A249" s="1"/>
      <c r="B249" s="252"/>
      <c r="C249" s="90" t="s">
        <v>8</v>
      </c>
      <c r="D249" s="124"/>
      <c r="E249" s="77">
        <f>31.6136</f>
        <v>31.613600000000002</v>
      </c>
      <c r="F249" s="77">
        <f>3549.1553</f>
        <v>3549.1552999999999</v>
      </c>
      <c r="G249" s="77"/>
      <c r="H249" s="77">
        <f>2356.64337</f>
        <v>2356.6433699999998</v>
      </c>
      <c r="I249" s="246"/>
      <c r="J249" s="122"/>
    </row>
    <row r="250" spans="1:10" ht="15" customHeight="1" x14ac:dyDescent="0.25">
      <c r="A250" s="1"/>
      <c r="B250" s="252"/>
      <c r="C250" s="90" t="s">
        <v>11</v>
      </c>
      <c r="D250" s="124"/>
      <c r="E250" s="77">
        <f>60.7296</f>
        <v>60.729599999999998</v>
      </c>
      <c r="F250" s="77">
        <f>4953.65849</f>
        <v>4953.6584899999998</v>
      </c>
      <c r="G250" s="77"/>
      <c r="H250" s="77">
        <f>4449.84825</f>
        <v>4449.84825</v>
      </c>
      <c r="I250" s="246"/>
      <c r="J250" s="122"/>
    </row>
    <row r="251" spans="1:10" ht="15.75" customHeight="1" x14ac:dyDescent="0.25">
      <c r="A251" s="1"/>
      <c r="B251" s="252"/>
      <c r="C251" s="146" t="s">
        <v>68</v>
      </c>
      <c r="D251" s="168"/>
      <c r="E251" s="124">
        <f>3.4372</f>
        <v>3.4371999999999998</v>
      </c>
      <c r="F251" s="124">
        <f>528.35303</f>
        <v>528.35302999999999</v>
      </c>
      <c r="G251" s="168"/>
      <c r="H251" s="124">
        <f>553.86556</f>
        <v>553.86555999999996</v>
      </c>
      <c r="I251" s="246"/>
      <c r="J251" s="122"/>
    </row>
    <row r="252" spans="1:10" ht="16.5" customHeight="1" x14ac:dyDescent="0.25">
      <c r="A252" s="1"/>
      <c r="B252" s="252"/>
      <c r="C252" s="179" t="s">
        <v>88</v>
      </c>
      <c r="D252" s="190">
        <v>10454</v>
      </c>
      <c r="E252" s="190">
        <f>SUM(E249:E251)</f>
        <v>95.7804</v>
      </c>
      <c r="F252" s="190">
        <f>SUM(F249:F251)</f>
        <v>9031.1668200000004</v>
      </c>
      <c r="G252" s="190">
        <f>D252-F252</f>
        <v>1422.8331799999996</v>
      </c>
      <c r="H252" s="190">
        <f>SUM(H249:H251)</f>
        <v>7360.35718</v>
      </c>
      <c r="I252" s="246"/>
      <c r="J252" s="122"/>
    </row>
    <row r="253" spans="1:10" ht="17.100000000000001" customHeight="1" x14ac:dyDescent="0.25">
      <c r="A253" s="1"/>
      <c r="B253" s="166"/>
      <c r="C253" s="201"/>
      <c r="D253" s="109"/>
      <c r="E253" s="109"/>
      <c r="F253" s="212"/>
      <c r="G253" s="212"/>
      <c r="H253" s="212"/>
      <c r="I253" s="212"/>
      <c r="J253" s="214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00000000000001" customHeight="1" x14ac:dyDescent="0.25">
      <c r="A287" s="1" t="s">
        <v>119</v>
      </c>
      <c r="B287" s="1"/>
      <c r="C287" s="1"/>
      <c r="D287" s="1"/>
      <c r="E287" s="1"/>
      <c r="F287" s="1"/>
      <c r="G287" s="1"/>
      <c r="H287" s="1"/>
      <c r="I287" s="1"/>
      <c r="J287" s="216"/>
    </row>
    <row r="288" spans="1:10" ht="21.75" customHeight="1" x14ac:dyDescent="0.35">
      <c r="A288" s="152"/>
      <c r="B288" s="1"/>
      <c r="C288" s="213" t="s">
        <v>138</v>
      </c>
      <c r="D288" s="172"/>
      <c r="E288" s="172"/>
      <c r="F288" s="172"/>
      <c r="G288" s="172"/>
      <c r="H288" s="1"/>
      <c r="I288" s="1"/>
      <c r="J288" s="1"/>
    </row>
    <row r="289" spans="1:10" ht="21.75" customHeight="1" x14ac:dyDescent="0.35">
      <c r="A289" s="152" t="s">
        <v>119</v>
      </c>
      <c r="B289" s="1"/>
      <c r="C289" s="213"/>
      <c r="D289" s="172"/>
      <c r="E289" s="172"/>
      <c r="F289" s="172"/>
      <c r="G289" s="172"/>
      <c r="H289" s="1"/>
      <c r="I289" s="1"/>
      <c r="J289" s="1"/>
    </row>
    <row r="290" spans="1:10" ht="12" customHeight="1" x14ac:dyDescent="0.25">
      <c r="A290" s="152"/>
      <c r="B290" s="140"/>
      <c r="C290" s="224"/>
      <c r="D290" s="235"/>
      <c r="E290" s="235"/>
      <c r="F290" s="235"/>
      <c r="G290" s="235"/>
      <c r="H290" s="156"/>
      <c r="I290" s="156"/>
      <c r="J290" s="164"/>
    </row>
    <row r="291" spans="1:10" ht="23.25" customHeight="1" x14ac:dyDescent="0.25">
      <c r="A291" s="1"/>
      <c r="B291" s="252"/>
      <c r="C291" s="18" t="s">
        <v>15</v>
      </c>
      <c r="D291" s="172"/>
      <c r="E291" s="172"/>
      <c r="F291" s="172"/>
      <c r="G291" s="1"/>
      <c r="H291" s="1"/>
      <c r="I291" s="1"/>
      <c r="J291" s="122"/>
    </row>
    <row r="292" spans="1:10" ht="15" customHeight="1" x14ac:dyDescent="0.25">
      <c r="A292" s="1"/>
      <c r="B292" s="252"/>
      <c r="C292" s="101"/>
      <c r="D292" s="172"/>
      <c r="E292" s="172"/>
      <c r="F292" s="172"/>
      <c r="G292" s="172"/>
      <c r="H292" s="1"/>
      <c r="I292" s="1"/>
      <c r="J292" s="122"/>
    </row>
    <row r="293" spans="1:10" ht="48.75" customHeight="1" x14ac:dyDescent="0.25">
      <c r="A293" s="1"/>
      <c r="B293" s="252"/>
      <c r="C293" s="68" t="s">
        <v>16</v>
      </c>
      <c r="D293" s="79" t="s">
        <v>2</v>
      </c>
      <c r="E293" s="68" t="s">
        <v>142</v>
      </c>
      <c r="F293" s="68" t="s">
        <v>143</v>
      </c>
      <c r="G293" s="68" t="s">
        <v>144</v>
      </c>
      <c r="H293" s="68" t="s">
        <v>145</v>
      </c>
      <c r="I293" s="1"/>
      <c r="J293" s="122"/>
    </row>
    <row r="294" spans="1:10" ht="15" customHeight="1" x14ac:dyDescent="0.25">
      <c r="A294" s="1"/>
      <c r="B294" s="252"/>
      <c r="C294" s="90" t="s">
        <v>8</v>
      </c>
      <c r="D294" s="124"/>
      <c r="E294" s="77">
        <f>50.2474</f>
        <v>50.247399999999999</v>
      </c>
      <c r="F294" s="77">
        <f>5438.13181</f>
        <v>5438.1318099999999</v>
      </c>
      <c r="G294" s="77"/>
      <c r="H294" s="77">
        <f>3267.95555</f>
        <v>3267.9555500000001</v>
      </c>
      <c r="I294" s="246"/>
      <c r="J294" s="122"/>
    </row>
    <row r="295" spans="1:10" ht="15" customHeight="1" x14ac:dyDescent="0.25">
      <c r="A295" s="1"/>
      <c r="B295" s="252"/>
      <c r="C295" s="90" t="s">
        <v>11</v>
      </c>
      <c r="D295" s="124"/>
      <c r="E295" s="77">
        <f>96.30713</f>
        <v>96.307130000000001</v>
      </c>
      <c r="F295" s="77">
        <f>3095.47349</f>
        <v>3095.4734899999999</v>
      </c>
      <c r="G295" s="77"/>
      <c r="H295" s="77">
        <f>2612.16104</f>
        <v>2612.16104</v>
      </c>
      <c r="I295" s="246"/>
      <c r="J295" s="122"/>
    </row>
    <row r="296" spans="1:10" ht="15.75" customHeight="1" x14ac:dyDescent="0.25">
      <c r="A296" s="1"/>
      <c r="B296" s="252"/>
      <c r="C296" s="146" t="s">
        <v>68</v>
      </c>
      <c r="D296" s="168"/>
      <c r="E296" s="124">
        <f>2.0979</f>
        <v>2.0979000000000001</v>
      </c>
      <c r="F296" s="124">
        <f>421.33323</f>
        <v>421.33323000000001</v>
      </c>
      <c r="G296" s="168"/>
      <c r="H296" s="124">
        <f>519.81682</f>
        <v>519.81682000000001</v>
      </c>
      <c r="I296" s="246"/>
      <c r="J296" s="122"/>
    </row>
    <row r="297" spans="1:10" ht="16.5" customHeight="1" x14ac:dyDescent="0.25">
      <c r="A297" s="1"/>
      <c r="B297" s="252"/>
      <c r="C297" s="179" t="s">
        <v>88</v>
      </c>
      <c r="D297" s="190">
        <v>8076</v>
      </c>
      <c r="E297" s="190">
        <f>SUM(E294:E296)</f>
        <v>148.65243000000001</v>
      </c>
      <c r="F297" s="190">
        <f>SUM(F294:F296)</f>
        <v>8954.9385299999994</v>
      </c>
      <c r="G297" s="190">
        <f>D297-F297</f>
        <v>-878.93852999999945</v>
      </c>
      <c r="H297" s="190">
        <f>SUM(H294:H296)</f>
        <v>6399.9334099999996</v>
      </c>
      <c r="I297" s="246"/>
      <c r="J297" s="122"/>
    </row>
    <row r="298" spans="1:10" ht="17.100000000000001" customHeight="1" x14ac:dyDescent="0.25">
      <c r="A298" s="1"/>
      <c r="B298" s="166"/>
      <c r="C298" s="201"/>
      <c r="D298" s="109"/>
      <c r="E298" s="109"/>
      <c r="F298" s="212"/>
      <c r="G298" s="212"/>
      <c r="H298" s="212"/>
      <c r="I298" s="212"/>
      <c r="J298" s="214"/>
    </row>
    <row r="299" spans="1:10" ht="0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7.100000000000001" customHeight="1" x14ac:dyDescent="0.25">
      <c r="A332" s="1" t="s">
        <v>119</v>
      </c>
      <c r="B332" s="1"/>
      <c r="C332" s="1"/>
      <c r="D332" s="1"/>
      <c r="E332" s="1"/>
      <c r="F332" s="1"/>
      <c r="G332" s="1"/>
      <c r="H332" s="1"/>
      <c r="I332" s="1"/>
      <c r="J332" s="216"/>
    </row>
    <row r="333" spans="1:10" ht="30" customHeight="1" x14ac:dyDescent="0.25">
      <c r="A333" s="216"/>
      <c r="B333" s="216"/>
      <c r="C333" s="217" t="s">
        <v>90</v>
      </c>
      <c r="D333" s="216"/>
      <c r="E333" s="216"/>
      <c r="F333" s="216"/>
      <c r="G333" s="216"/>
      <c r="H333" s="216"/>
      <c r="I333" s="216"/>
      <c r="J333" s="222"/>
    </row>
    <row r="334" spans="1:10" ht="30" customHeight="1" x14ac:dyDescent="0.25">
      <c r="A334" s="216" t="s">
        <v>119</v>
      </c>
      <c r="B334" s="216"/>
      <c r="C334" s="217"/>
      <c r="D334" s="216"/>
      <c r="E334" s="216"/>
      <c r="F334" s="216"/>
      <c r="G334" s="216"/>
      <c r="H334" s="216"/>
      <c r="I334" s="216"/>
      <c r="J334" s="222"/>
    </row>
    <row r="335" spans="1:10" ht="14.1" customHeight="1" x14ac:dyDescent="0.25">
      <c r="A335" s="1"/>
      <c r="B335" s="138"/>
      <c r="C335" s="176"/>
      <c r="D335" s="176"/>
      <c r="E335" s="176"/>
      <c r="F335" s="176"/>
      <c r="G335" s="176"/>
      <c r="H335" s="176"/>
      <c r="I335" s="176"/>
      <c r="J335" s="164"/>
    </row>
    <row r="336" spans="1:10" ht="14.1" customHeight="1" x14ac:dyDescent="0.25">
      <c r="A336" s="159"/>
      <c r="B336" s="54"/>
      <c r="C336" s="151" t="s">
        <v>1</v>
      </c>
      <c r="D336" s="187"/>
      <c r="E336" s="152"/>
      <c r="F336" s="152"/>
      <c r="G336" s="159"/>
      <c r="H336" s="159"/>
      <c r="I336" s="159"/>
      <c r="J336" s="122"/>
    </row>
    <row r="337" spans="1:10" ht="14.1" customHeight="1" x14ac:dyDescent="0.25">
      <c r="A337" s="1"/>
      <c r="B337" s="252"/>
      <c r="C337" s="257" t="s">
        <v>85</v>
      </c>
      <c r="D337" s="268">
        <v>3299</v>
      </c>
      <c r="E337" s="152"/>
      <c r="F337" s="223"/>
      <c r="G337" s="1"/>
      <c r="H337" s="1"/>
      <c r="I337" s="1"/>
      <c r="J337" s="122"/>
    </row>
    <row r="338" spans="1:10" ht="14.1" customHeight="1" x14ac:dyDescent="0.25">
      <c r="A338" s="1"/>
      <c r="B338" s="252"/>
      <c r="C338" s="246" t="s">
        <v>91</v>
      </c>
      <c r="D338" s="46">
        <v>9882</v>
      </c>
      <c r="E338" s="152"/>
      <c r="F338" s="223"/>
      <c r="G338" s="1"/>
      <c r="H338" s="1"/>
      <c r="I338" s="1"/>
      <c r="J338" s="122"/>
    </row>
    <row r="339" spans="1:10" ht="14.1" customHeight="1" x14ac:dyDescent="0.25">
      <c r="A339" s="1"/>
      <c r="B339" s="252"/>
      <c r="C339" s="246" t="s">
        <v>92</v>
      </c>
      <c r="D339" s="46">
        <v>8089</v>
      </c>
      <c r="E339" s="152"/>
      <c r="F339" s="223"/>
      <c r="G339" s="1"/>
      <c r="H339" s="1"/>
      <c r="I339" s="1"/>
      <c r="J339" s="122"/>
    </row>
    <row r="340" spans="1:10" ht="13.5" customHeight="1" x14ac:dyDescent="0.25">
      <c r="A340" s="1"/>
      <c r="B340" s="252"/>
      <c r="C340" s="246" t="s">
        <v>75</v>
      </c>
      <c r="D340" s="46">
        <v>382</v>
      </c>
      <c r="E340" s="152"/>
      <c r="F340" s="223"/>
      <c r="G340" s="1"/>
      <c r="H340" s="1"/>
      <c r="I340" s="1"/>
      <c r="J340" s="122"/>
    </row>
    <row r="341" spans="1:10" ht="14.25" customHeight="1" x14ac:dyDescent="0.25">
      <c r="A341" s="1"/>
      <c r="B341" s="252"/>
      <c r="C341" s="57" t="s">
        <v>50</v>
      </c>
      <c r="D341" s="35">
        <f>SUM(D337:D340)</f>
        <v>21652</v>
      </c>
      <c r="E341" s="152"/>
      <c r="F341" s="152"/>
      <c r="G341" s="1"/>
      <c r="H341" s="1"/>
      <c r="I341" s="1"/>
      <c r="J341" s="122"/>
    </row>
    <row r="342" spans="1:10" ht="14.1" customHeight="1" x14ac:dyDescent="0.25">
      <c r="A342" s="1"/>
      <c r="B342" s="252"/>
      <c r="C342" s="226" t="s">
        <v>93</v>
      </c>
      <c r="D342" s="227"/>
      <c r="E342" s="181"/>
      <c r="F342" s="181"/>
      <c r="G342" s="1"/>
      <c r="H342" s="1"/>
      <c r="I342" s="1"/>
      <c r="J342" s="122"/>
    </row>
    <row r="343" spans="1:10" ht="15" customHeight="1" x14ac:dyDescent="0.25">
      <c r="A343" s="1"/>
      <c r="B343" s="252"/>
      <c r="C343" s="101" t="s">
        <v>94</v>
      </c>
      <c r="D343" s="228"/>
      <c r="E343" s="1"/>
      <c r="F343" s="1"/>
      <c r="G343" s="1"/>
      <c r="H343" s="1"/>
      <c r="I343" s="1"/>
      <c r="J343" s="122"/>
    </row>
    <row r="344" spans="1:10" ht="14.25" customHeight="1" x14ac:dyDescent="0.25">
      <c r="A344" s="1"/>
      <c r="B344" s="252"/>
      <c r="C344" s="101" t="s">
        <v>95</v>
      </c>
      <c r="D344" s="1"/>
      <c r="E344" s="1"/>
      <c r="F344" s="1"/>
      <c r="G344" s="1"/>
      <c r="H344" s="1"/>
      <c r="I344" s="1"/>
      <c r="J344" s="122"/>
    </row>
    <row r="345" spans="1:10" ht="23.25" customHeight="1" x14ac:dyDescent="0.25">
      <c r="A345" s="1"/>
      <c r="B345" s="229"/>
      <c r="C345" s="232" t="s">
        <v>15</v>
      </c>
      <c r="D345" s="232"/>
      <c r="E345" s="232"/>
      <c r="F345" s="232"/>
      <c r="G345" s="232"/>
      <c r="H345" s="232"/>
      <c r="I345" s="232"/>
      <c r="J345" s="236"/>
    </row>
    <row r="346" spans="1:10" ht="14.1" customHeight="1" x14ac:dyDescent="0.25">
      <c r="A346" s="1"/>
      <c r="B346" s="238"/>
      <c r="C346" s="240"/>
      <c r="D346" s="240"/>
      <c r="E346" s="240"/>
      <c r="F346" s="240"/>
      <c r="G346" s="240"/>
      <c r="H346" s="240"/>
      <c r="I346" s="240"/>
      <c r="J346" s="122"/>
    </row>
    <row r="347" spans="1:10" ht="54" customHeight="1" x14ac:dyDescent="0.25">
      <c r="A347" s="1"/>
      <c r="B347" s="252"/>
      <c r="C347" s="68" t="s">
        <v>16</v>
      </c>
      <c r="D347" s="241" t="s">
        <v>2</v>
      </c>
      <c r="E347" s="68" t="s">
        <v>142</v>
      </c>
      <c r="F347" s="68" t="s">
        <v>143</v>
      </c>
      <c r="G347" s="68" t="s">
        <v>144</v>
      </c>
      <c r="H347" s="68" t="s">
        <v>145</v>
      </c>
      <c r="I347" s="1"/>
      <c r="J347" s="118"/>
    </row>
    <row r="348" spans="1:10" ht="14.1" customHeight="1" x14ac:dyDescent="0.25">
      <c r="A348" s="70"/>
      <c r="B348" s="81"/>
      <c r="C348" s="90" t="s">
        <v>96</v>
      </c>
      <c r="D348" s="124">
        <v>800</v>
      </c>
      <c r="E348" s="124">
        <f>4.79117</f>
        <v>4.7911700000000002</v>
      </c>
      <c r="F348" s="124">
        <f>484.2395</f>
        <v>484.23950000000002</v>
      </c>
      <c r="G348" s="124">
        <f>D348-F348</f>
        <v>315.76049999999998</v>
      </c>
      <c r="H348" s="124">
        <f>290.50324</f>
        <v>290.50324000000001</v>
      </c>
      <c r="I348" s="70"/>
      <c r="J348" s="242"/>
    </row>
    <row r="349" spans="1:10" ht="14.1" customHeight="1" x14ac:dyDescent="0.25">
      <c r="A349" s="1"/>
      <c r="B349" s="252"/>
      <c r="C349" s="90" t="s">
        <v>97</v>
      </c>
      <c r="D349" s="244">
        <v>2494</v>
      </c>
      <c r="E349" s="124">
        <f>37.66788</f>
        <v>37.667879999999997</v>
      </c>
      <c r="F349" s="124">
        <f>2446.6586</f>
        <v>2446.6586000000002</v>
      </c>
      <c r="G349" s="124">
        <f>D349-F349</f>
        <v>47.341399999999794</v>
      </c>
      <c r="H349" s="124">
        <f>1486.40155</f>
        <v>1486.40155</v>
      </c>
      <c r="I349" s="181"/>
      <c r="J349" s="118"/>
    </row>
    <row r="350" spans="1:10" ht="16.5" customHeight="1" x14ac:dyDescent="0.25">
      <c r="A350" s="70"/>
      <c r="B350" s="81"/>
      <c r="C350" s="146" t="s">
        <v>82</v>
      </c>
      <c r="D350" s="244">
        <v>5</v>
      </c>
      <c r="E350" s="168">
        <f>0</f>
        <v>0</v>
      </c>
      <c r="F350" s="168">
        <f>2.73874</f>
        <v>2.73874</v>
      </c>
      <c r="G350" s="124">
        <f>D350-F350</f>
        <v>2.26126</v>
      </c>
      <c r="H350" s="168">
        <f>0.9582</f>
        <v>0.95820000000000005</v>
      </c>
      <c r="I350" s="70"/>
      <c r="J350" s="247"/>
    </row>
    <row r="351" spans="1:10" ht="18.75" customHeight="1" x14ac:dyDescent="0.25">
      <c r="A351" s="70"/>
      <c r="B351" s="248"/>
      <c r="C351" s="146" t="s">
        <v>98</v>
      </c>
      <c r="D351" s="220"/>
      <c r="E351" s="168">
        <f>0</f>
        <v>0</v>
      </c>
      <c r="F351" s="168">
        <f>1.7076</f>
        <v>1.7076</v>
      </c>
      <c r="G351" s="124"/>
      <c r="H351" s="168">
        <f>6.78276</f>
        <v>6.7827599999999997</v>
      </c>
      <c r="I351" s="282"/>
      <c r="J351" s="122"/>
    </row>
    <row r="352" spans="1:10" ht="14.1" customHeight="1" x14ac:dyDescent="0.25">
      <c r="A352" s="1"/>
      <c r="B352" s="252"/>
      <c r="C352" s="179" t="s">
        <v>88</v>
      </c>
      <c r="D352" s="6">
        <f>D337</f>
        <v>3299</v>
      </c>
      <c r="E352" s="190">
        <f>SUM(E348:E351)</f>
        <v>42.459049999999998</v>
      </c>
      <c r="F352" s="190">
        <f>SUM(F348:F351)</f>
        <v>2935.3444400000003</v>
      </c>
      <c r="G352" s="190">
        <f>D352-F352</f>
        <v>363.6555599999997</v>
      </c>
      <c r="H352" s="190">
        <f>H348+H349+H350+H351</f>
        <v>1784.6457500000001</v>
      </c>
      <c r="I352" s="1"/>
      <c r="J352" s="122"/>
    </row>
    <row r="353" spans="1:10" ht="14.1" customHeight="1" x14ac:dyDescent="0.25">
      <c r="A353" s="1"/>
      <c r="B353" s="252"/>
      <c r="C353" s="21"/>
      <c r="D353" s="34"/>
      <c r="E353" s="34"/>
      <c r="F353" s="34"/>
      <c r="G353" s="34"/>
      <c r="H353" s="34"/>
      <c r="I353" s="1"/>
      <c r="J353" s="122"/>
    </row>
    <row r="354" spans="1:10" ht="14.1" customHeight="1" x14ac:dyDescent="0.25">
      <c r="A354" s="1"/>
      <c r="B354" s="166"/>
      <c r="C354" s="109"/>
      <c r="D354" s="109"/>
      <c r="E354" s="109"/>
      <c r="F354" s="109"/>
      <c r="G354" s="108"/>
      <c r="H354" s="109"/>
      <c r="I354" s="109"/>
      <c r="J354" s="120"/>
    </row>
    <row r="355" spans="1:10" ht="14.1" customHeight="1" x14ac:dyDescent="0.25">
      <c r="A355" s="1"/>
      <c r="C355" s="152" t="s">
        <v>119</v>
      </c>
    </row>
    <row r="356" spans="1:10" ht="14.1" customHeight="1" x14ac:dyDescent="0.25">
      <c r="A356" s="1" t="s">
        <v>119</v>
      </c>
    </row>
    <row r="357" spans="1:10" ht="14.1" customHeight="1" x14ac:dyDescent="0.25">
      <c r="A357" s="1" t="s">
        <v>119</v>
      </c>
    </row>
    <row r="358" spans="1:10" ht="14.1" customHeight="1" x14ac:dyDescent="0.25">
      <c r="A358" s="1"/>
      <c r="C358" s="152" t="s">
        <v>119</v>
      </c>
    </row>
    <row r="359" spans="1:10" ht="36" customHeight="1" x14ac:dyDescent="0.25">
      <c r="A359" s="1"/>
      <c r="C359" s="152" t="s">
        <v>119</v>
      </c>
    </row>
    <row r="360" spans="1:10" ht="14.1" customHeight="1" x14ac:dyDescent="0.25">
      <c r="A360" s="1"/>
      <c r="C360" s="152" t="s">
        <v>119</v>
      </c>
    </row>
    <row r="361" spans="1:10" ht="14.1" customHeight="1" x14ac:dyDescent="0.25">
      <c r="A361" s="1"/>
      <c r="C361" s="152" t="s">
        <v>119</v>
      </c>
    </row>
    <row r="362" spans="1:10" ht="30" customHeight="1" x14ac:dyDescent="0.35">
      <c r="A362" s="216"/>
      <c r="B362" s="1"/>
      <c r="C362" s="213" t="s">
        <v>99</v>
      </c>
      <c r="D362" s="159"/>
      <c r="E362" s="1"/>
      <c r="F362" s="1"/>
      <c r="G362" s="1"/>
      <c r="H362" s="1"/>
      <c r="I362" s="1"/>
      <c r="J362" s="1"/>
    </row>
    <row r="363" spans="1:10" ht="17.100000000000001" customHeight="1" x14ac:dyDescent="0.25">
      <c r="B363" s="126"/>
      <c r="C363" s="237"/>
      <c r="D363" s="237"/>
      <c r="E363" s="237"/>
      <c r="F363" s="237"/>
      <c r="G363" s="237"/>
      <c r="H363" s="237"/>
      <c r="I363" s="237"/>
      <c r="J363" s="62"/>
    </row>
    <row r="364" spans="1:10" ht="6" customHeight="1" x14ac:dyDescent="0.25">
      <c r="B364" s="74"/>
      <c r="C364" s="152"/>
      <c r="D364" s="152"/>
      <c r="E364" s="152"/>
      <c r="F364" s="152"/>
      <c r="G364" s="152"/>
      <c r="H364" s="152"/>
      <c r="I364" s="152"/>
      <c r="J364" s="132"/>
    </row>
    <row r="365" spans="1:10" ht="18" customHeight="1" x14ac:dyDescent="0.25">
      <c r="B365" s="74"/>
      <c r="C365" s="151" t="s">
        <v>1</v>
      </c>
      <c r="D365" s="187"/>
      <c r="E365" s="151" t="s">
        <v>100</v>
      </c>
      <c r="F365" s="187"/>
      <c r="G365" s="151" t="s">
        <v>101</v>
      </c>
      <c r="H365" s="187"/>
      <c r="I365" s="152"/>
      <c r="J365" s="132"/>
    </row>
    <row r="366" spans="1:10" ht="14.25" customHeight="1" x14ac:dyDescent="0.25">
      <c r="B366" s="74"/>
      <c r="C366" s="257" t="s">
        <v>85</v>
      </c>
      <c r="D366" s="268">
        <v>27365</v>
      </c>
      <c r="E366" s="250" t="s">
        <v>4</v>
      </c>
      <c r="F366" s="105">
        <v>13865</v>
      </c>
      <c r="G366" s="246" t="s">
        <v>20</v>
      </c>
      <c r="H366" s="46">
        <v>6472</v>
      </c>
      <c r="I366" s="152"/>
      <c r="J366" s="132"/>
    </row>
    <row r="367" spans="1:10" ht="14.25" customHeight="1" x14ac:dyDescent="0.25">
      <c r="B367" s="74"/>
      <c r="C367" s="246" t="s">
        <v>92</v>
      </c>
      <c r="D367" s="46">
        <v>19433</v>
      </c>
      <c r="E367" s="181" t="s">
        <v>97</v>
      </c>
      <c r="F367" s="49">
        <v>8000</v>
      </c>
      <c r="G367" s="246" t="s">
        <v>21</v>
      </c>
      <c r="H367" s="46">
        <v>1684</v>
      </c>
      <c r="I367" s="152"/>
      <c r="J367" s="132"/>
    </row>
    <row r="368" spans="1:10" ht="14.25" customHeight="1" x14ac:dyDescent="0.25">
      <c r="B368" s="74"/>
      <c r="C368" s="246" t="s">
        <v>91</v>
      </c>
      <c r="D368" s="46">
        <v>6186</v>
      </c>
      <c r="E368" s="181" t="s">
        <v>60</v>
      </c>
      <c r="F368" s="49">
        <v>5500</v>
      </c>
      <c r="G368" s="246" t="s">
        <v>102</v>
      </c>
      <c r="H368" s="46">
        <v>4296</v>
      </c>
      <c r="I368" s="152"/>
      <c r="J368" s="132"/>
    </row>
    <row r="369" spans="1:10" ht="14.1" customHeight="1" x14ac:dyDescent="0.25">
      <c r="B369" s="74"/>
      <c r="C369" s="246"/>
      <c r="D369" s="46"/>
      <c r="E369" s="133"/>
      <c r="F369" s="147"/>
      <c r="G369" s="246" t="s">
        <v>103</v>
      </c>
      <c r="H369" s="46">
        <v>1313</v>
      </c>
      <c r="I369" s="152"/>
      <c r="J369" s="132"/>
    </row>
    <row r="370" spans="1:10" ht="14.1" customHeight="1" x14ac:dyDescent="0.25">
      <c r="B370" s="74"/>
      <c r="C370" s="57" t="s">
        <v>50</v>
      </c>
      <c r="D370" s="35">
        <v>53374</v>
      </c>
      <c r="E370" s="175" t="s">
        <v>104</v>
      </c>
      <c r="F370" s="35">
        <f>F366+F367+F368</f>
        <v>27365</v>
      </c>
      <c r="G370" s="57" t="s">
        <v>4</v>
      </c>
      <c r="H370" s="35">
        <f>SUM(H366:H369)</f>
        <v>13765</v>
      </c>
      <c r="I370" s="152"/>
      <c r="J370" s="132"/>
    </row>
    <row r="371" spans="1:10" ht="13.35" customHeight="1" x14ac:dyDescent="0.25">
      <c r="B371" s="74"/>
      <c r="C371" s="101" t="s">
        <v>120</v>
      </c>
      <c r="D371" s="181"/>
      <c r="E371" s="181"/>
      <c r="F371" s="181"/>
      <c r="G371" s="1"/>
      <c r="H371" s="181"/>
      <c r="I371" s="181"/>
      <c r="J371" s="242"/>
    </row>
    <row r="372" spans="1:10" ht="13.35" customHeight="1" x14ac:dyDescent="0.25">
      <c r="B372" s="74"/>
      <c r="C372" s="101" t="s">
        <v>105</v>
      </c>
      <c r="D372" s="1"/>
      <c r="E372" s="1"/>
      <c r="F372" s="1"/>
      <c r="G372" s="1"/>
      <c r="H372" s="1"/>
      <c r="I372" s="1"/>
      <c r="J372" s="122"/>
    </row>
    <row r="373" spans="1:10" ht="9.75" customHeight="1" x14ac:dyDescent="0.25">
      <c r="B373" s="74"/>
      <c r="C373" s="101"/>
      <c r="D373" s="1"/>
      <c r="E373" s="1"/>
      <c r="F373" s="1"/>
      <c r="G373" s="1"/>
      <c r="H373" s="1"/>
      <c r="I373" s="1"/>
      <c r="J373" s="122"/>
    </row>
    <row r="374" spans="1:10" ht="18" customHeight="1" x14ac:dyDescent="0.25">
      <c r="B374" s="74"/>
      <c r="C374" s="152"/>
      <c r="D374" s="152"/>
      <c r="E374" s="152"/>
      <c r="F374" s="152"/>
      <c r="G374" s="152"/>
      <c r="H374" s="152"/>
      <c r="I374" s="152"/>
      <c r="J374" s="132"/>
    </row>
    <row r="375" spans="1:10" ht="29.25" customHeight="1" x14ac:dyDescent="0.25">
      <c r="B375" s="229"/>
      <c r="C375" s="232" t="s">
        <v>15</v>
      </c>
      <c r="D375" s="232"/>
      <c r="E375" s="232"/>
      <c r="F375" s="232"/>
      <c r="G375" s="232"/>
      <c r="H375" s="232"/>
      <c r="I375" s="232"/>
      <c r="J375" s="236"/>
    </row>
    <row r="376" spans="1:10" ht="18.75" customHeight="1" x14ac:dyDescent="0.25">
      <c r="B376" s="200"/>
      <c r="C376" s="222"/>
      <c r="D376" s="222"/>
      <c r="E376" s="222"/>
      <c r="F376" s="222"/>
      <c r="G376" s="222"/>
      <c r="H376" s="222"/>
      <c r="I376" s="222"/>
      <c r="J376" s="13"/>
    </row>
    <row r="377" spans="1:10" ht="64.5" customHeight="1" x14ac:dyDescent="0.25">
      <c r="B377" s="74"/>
      <c r="C377" s="221" t="s">
        <v>16</v>
      </c>
      <c r="D377" s="230" t="s">
        <v>17</v>
      </c>
      <c r="E377" s="68" t="s">
        <v>106</v>
      </c>
      <c r="F377" s="221" t="s">
        <v>142</v>
      </c>
      <c r="G377" s="221" t="s">
        <v>143</v>
      </c>
      <c r="H377" s="221" t="s">
        <v>144</v>
      </c>
      <c r="I377" s="221" t="s">
        <v>145</v>
      </c>
      <c r="J377" s="132"/>
    </row>
    <row r="378" spans="1:10" ht="14.1" customHeight="1" x14ac:dyDescent="0.25">
      <c r="A378" s="216"/>
      <c r="B378" s="74"/>
      <c r="C378" s="245" t="s">
        <v>19</v>
      </c>
      <c r="D378" s="249">
        <f t="shared" ref="D378:I378" si="15">D382+D381+D380+D379</f>
        <v>13765</v>
      </c>
      <c r="E378" s="249">
        <f t="shared" si="15"/>
        <v>16102</v>
      </c>
      <c r="F378" s="251">
        <f t="shared" si="15"/>
        <v>69.728430000000003</v>
      </c>
      <c r="G378" s="251">
        <f t="shared" si="15"/>
        <v>12857.6163</v>
      </c>
      <c r="H378" s="251">
        <f>H382+H381+H380+H379</f>
        <v>3244.3837000000003</v>
      </c>
      <c r="I378" s="251">
        <f t="shared" si="15"/>
        <v>6234.4341599999998</v>
      </c>
      <c r="J378" s="132"/>
    </row>
    <row r="379" spans="1:10" ht="14.1" customHeight="1" x14ac:dyDescent="0.25">
      <c r="A379" s="216"/>
      <c r="B379" s="74"/>
      <c r="C379" s="253" t="s">
        <v>107</v>
      </c>
      <c r="D379" s="254">
        <v>6472</v>
      </c>
      <c r="E379" s="254">
        <v>8177</v>
      </c>
      <c r="F379" s="255">
        <f>0</f>
        <v>0</v>
      </c>
      <c r="G379" s="255">
        <f>7008.48543</f>
        <v>7008.4854299999997</v>
      </c>
      <c r="H379" s="255">
        <f t="shared" ref="H379:H383" si="16">E379-G379</f>
        <v>1168.5145700000003</v>
      </c>
      <c r="I379" s="255">
        <f>3618.21597</f>
        <v>3618.2159700000002</v>
      </c>
      <c r="J379" s="132"/>
    </row>
    <row r="380" spans="1:10" ht="14.1" customHeight="1" x14ac:dyDescent="0.25">
      <c r="A380" s="216"/>
      <c r="B380" s="74"/>
      <c r="C380" s="258" t="s">
        <v>21</v>
      </c>
      <c r="D380" s="254">
        <v>1684</v>
      </c>
      <c r="E380" s="254">
        <v>2128</v>
      </c>
      <c r="F380" s="255">
        <f>0</f>
        <v>0</v>
      </c>
      <c r="G380" s="255">
        <f>1408.0095</f>
        <v>1408.0094999999999</v>
      </c>
      <c r="H380" s="255">
        <f t="shared" si="16"/>
        <v>719.99050000000011</v>
      </c>
      <c r="I380" s="255">
        <f>490.4118</f>
        <v>490.41180000000003</v>
      </c>
      <c r="J380" s="132"/>
    </row>
    <row r="381" spans="1:10" ht="14.1" customHeight="1" x14ac:dyDescent="0.25">
      <c r="A381" s="216"/>
      <c r="B381" s="74"/>
      <c r="C381" s="258" t="s">
        <v>103</v>
      </c>
      <c r="D381" s="254">
        <v>1313</v>
      </c>
      <c r="E381" s="254">
        <v>1357</v>
      </c>
      <c r="F381" s="255">
        <f>16.53023</f>
        <v>16.53023</v>
      </c>
      <c r="G381" s="255">
        <f>1703.58007</f>
        <v>1703.58007</v>
      </c>
      <c r="H381" s="255">
        <f t="shared" si="16"/>
        <v>-346.58006999999998</v>
      </c>
      <c r="I381" s="255">
        <f>1338.81799</f>
        <v>1338.81799</v>
      </c>
      <c r="J381" s="132"/>
    </row>
    <row r="382" spans="1:10" ht="14.1" customHeight="1" x14ac:dyDescent="0.25">
      <c r="A382" s="216"/>
      <c r="B382" s="74"/>
      <c r="C382" s="260" t="s">
        <v>108</v>
      </c>
      <c r="D382" s="261">
        <v>4296</v>
      </c>
      <c r="E382" s="261">
        <v>4440</v>
      </c>
      <c r="F382" s="255">
        <f>53.1982</f>
        <v>53.1982</v>
      </c>
      <c r="G382" s="255">
        <f>2737.5413</f>
        <v>2737.5412999999999</v>
      </c>
      <c r="H382" s="255">
        <f t="shared" si="16"/>
        <v>1702.4587000000001</v>
      </c>
      <c r="I382" s="255">
        <f>786.9884</f>
        <v>786.98839999999996</v>
      </c>
      <c r="J382" s="132"/>
    </row>
    <row r="383" spans="1:10" ht="14.1" customHeight="1" x14ac:dyDescent="0.25">
      <c r="A383" s="216"/>
      <c r="B383" s="74"/>
      <c r="C383" s="263" t="s">
        <v>60</v>
      </c>
      <c r="D383" s="264">
        <v>5500</v>
      </c>
      <c r="E383" s="264">
        <v>5500</v>
      </c>
      <c r="F383" s="266">
        <f>1.226</f>
        <v>1.226</v>
      </c>
      <c r="G383" s="266">
        <f>5108.15528</f>
        <v>5108.1552799999999</v>
      </c>
      <c r="H383" s="266">
        <f t="shared" si="16"/>
        <v>391.84472000000005</v>
      </c>
      <c r="I383" s="266">
        <f>4547.30068</f>
        <v>4547.3006800000003</v>
      </c>
      <c r="J383" s="132"/>
    </row>
    <row r="384" spans="1:10" ht="14.1" customHeight="1" x14ac:dyDescent="0.25">
      <c r="A384" s="216"/>
      <c r="B384" s="74"/>
      <c r="C384" s="245" t="s">
        <v>22</v>
      </c>
      <c r="D384" s="249">
        <v>8000</v>
      </c>
      <c r="E384" s="249">
        <v>8000</v>
      </c>
      <c r="F384" s="267">
        <f>F386+F385</f>
        <v>184.95400000000001</v>
      </c>
      <c r="G384" s="267">
        <f>G386+G385</f>
        <v>3554.77214</v>
      </c>
      <c r="H384" s="267">
        <f>E384-G384</f>
        <v>4445.22786</v>
      </c>
      <c r="I384" s="267">
        <f>I386+I385</f>
        <v>3516.8679999999999</v>
      </c>
      <c r="J384" s="132"/>
    </row>
    <row r="385" spans="1:10" ht="14.1" customHeight="1" x14ac:dyDescent="0.25">
      <c r="A385" s="216"/>
      <c r="B385" s="74"/>
      <c r="C385" s="258" t="s">
        <v>54</v>
      </c>
      <c r="D385" s="269"/>
      <c r="E385" s="254"/>
      <c r="F385" s="255">
        <f>0</f>
        <v>0</v>
      </c>
      <c r="G385" s="255">
        <f>858.81005</f>
        <v>858.81005000000005</v>
      </c>
      <c r="H385" s="255"/>
      <c r="I385" s="255">
        <f>1144.54655</f>
        <v>1144.54655</v>
      </c>
      <c r="J385" s="132"/>
    </row>
    <row r="386" spans="1:10" ht="14.1" customHeight="1" x14ac:dyDescent="0.25">
      <c r="A386" s="216"/>
      <c r="B386" s="74"/>
      <c r="C386" s="271" t="s">
        <v>109</v>
      </c>
      <c r="D386" s="272"/>
      <c r="E386" s="275"/>
      <c r="F386" s="276">
        <f>184.954</f>
        <v>184.95400000000001</v>
      </c>
      <c r="G386" s="276">
        <f>2695.96209</f>
        <v>2695.96209</v>
      </c>
      <c r="H386" s="276"/>
      <c r="I386" s="276">
        <f>2372.32145</f>
        <v>2372.3214499999999</v>
      </c>
      <c r="J386" s="132"/>
    </row>
    <row r="387" spans="1:10" ht="14.1" customHeight="1" x14ac:dyDescent="0.25">
      <c r="A387" s="216"/>
      <c r="B387" s="74"/>
      <c r="C387" s="263" t="s">
        <v>34</v>
      </c>
      <c r="D387" s="264">
        <v>10</v>
      </c>
      <c r="E387" s="264">
        <v>10</v>
      </c>
      <c r="F387" s="266">
        <f>0</f>
        <v>0</v>
      </c>
      <c r="G387" s="266">
        <f>0.0735</f>
        <v>7.3499999999999996E-2</v>
      </c>
      <c r="H387" s="266">
        <f>E387-G387</f>
        <v>9.9265000000000008</v>
      </c>
      <c r="I387" s="266">
        <f>0.39555</f>
        <v>0.39555000000000001</v>
      </c>
      <c r="J387" s="132"/>
    </row>
    <row r="388" spans="1:10" ht="14.1" customHeight="1" x14ac:dyDescent="0.25">
      <c r="A388" s="216"/>
      <c r="B388" s="74"/>
      <c r="C388" s="277" t="s">
        <v>110</v>
      </c>
      <c r="D388" s="280"/>
      <c r="E388" s="281"/>
      <c r="F388" s="266">
        <f>1.93932</f>
        <v>1.9393199999999999</v>
      </c>
      <c r="G388" s="266">
        <f>117.3263</f>
        <v>117.3263</v>
      </c>
      <c r="H388" s="266">
        <f>E388-G388</f>
        <v>-117.3263</v>
      </c>
      <c r="I388" s="266">
        <f>232.16765</f>
        <v>232.16765000000001</v>
      </c>
      <c r="J388" s="132"/>
    </row>
    <row r="389" spans="1:10" ht="19.5" customHeight="1" x14ac:dyDescent="0.25">
      <c r="A389" s="216"/>
      <c r="B389" s="74"/>
      <c r="C389" s="283" t="s">
        <v>41</v>
      </c>
      <c r="D389" s="284">
        <f>D378+D383+D384+D387+D388</f>
        <v>27275</v>
      </c>
      <c r="E389" s="284">
        <f>E378+E383+E384+E387+E388</f>
        <v>29612</v>
      </c>
      <c r="F389" s="285">
        <f t="shared" ref="F389:I389" si="17">F378+F383+F384+F387+F388</f>
        <v>257.84775000000002</v>
      </c>
      <c r="G389" s="285">
        <f t="shared" si="17"/>
        <v>21637.943520000001</v>
      </c>
      <c r="H389" s="285">
        <f>H378+H383+H384+H387+H388</f>
        <v>7974.0564800000002</v>
      </c>
      <c r="I389" s="285">
        <f t="shared" si="17"/>
        <v>14531.16604</v>
      </c>
      <c r="J389" s="132"/>
    </row>
    <row r="390" spans="1:10" ht="14.1" customHeight="1" x14ac:dyDescent="0.25">
      <c r="A390" s="216"/>
      <c r="B390" s="74"/>
      <c r="C390" s="163" t="s">
        <v>111</v>
      </c>
      <c r="D390" s="287"/>
      <c r="E390" s="287"/>
      <c r="F390" s="4"/>
      <c r="G390" s="4"/>
      <c r="H390" s="5"/>
      <c r="I390" s="5"/>
      <c r="J390" s="132"/>
    </row>
    <row r="391" spans="1:10" ht="14.1" customHeight="1" x14ac:dyDescent="0.25">
      <c r="A391" s="216"/>
      <c r="B391" s="74"/>
      <c r="C391" s="101" t="s">
        <v>121</v>
      </c>
      <c r="D391" s="287"/>
      <c r="E391" s="287"/>
      <c r="F391" s="4"/>
      <c r="G391" s="4"/>
      <c r="H391" s="7"/>
      <c r="I391" s="5"/>
      <c r="J391" s="132"/>
    </row>
    <row r="392" spans="1:10" ht="14.1" customHeight="1" x14ac:dyDescent="0.25">
      <c r="A392" s="216"/>
      <c r="B392" s="74"/>
      <c r="C392" s="101" t="s">
        <v>122</v>
      </c>
      <c r="D392" s="287"/>
      <c r="E392" s="287"/>
      <c r="F392" s="4"/>
      <c r="G392" s="4"/>
      <c r="H392" s="5"/>
      <c r="I392" s="7"/>
      <c r="J392" s="132"/>
    </row>
    <row r="393" spans="1:10" ht="15.75" customHeight="1" x14ac:dyDescent="0.25">
      <c r="A393" s="216"/>
      <c r="B393" s="8"/>
      <c r="C393" s="9"/>
      <c r="D393" s="109"/>
      <c r="E393" s="109"/>
      <c r="F393" s="109"/>
      <c r="G393" s="109"/>
      <c r="H393" s="109"/>
      <c r="I393" s="109"/>
      <c r="J393" s="12"/>
    </row>
    <row r="394" spans="1:10" ht="15.75" customHeight="1" x14ac:dyDescent="0.25">
      <c r="A394" s="216"/>
      <c r="B394" s="152" t="s">
        <v>119</v>
      </c>
      <c r="C394" s="14"/>
      <c r="D394" s="1"/>
      <c r="E394" s="1"/>
      <c r="F394" s="1"/>
      <c r="G394" s="1"/>
      <c r="H394" s="1"/>
      <c r="I394" s="1"/>
      <c r="J394" s="152"/>
    </row>
    <row r="395" spans="1:10" ht="15.75" customHeight="1" x14ac:dyDescent="0.25">
      <c r="A395" s="216"/>
      <c r="B395" s="152" t="s">
        <v>119</v>
      </c>
      <c r="C395" s="14"/>
      <c r="D395" s="1"/>
      <c r="E395" s="1"/>
      <c r="F395" s="1"/>
      <c r="G395" s="1"/>
      <c r="H395" s="1"/>
      <c r="I395" s="1"/>
      <c r="J395" s="152"/>
    </row>
    <row r="396" spans="1:10" ht="14.1" customHeight="1" x14ac:dyDescent="0.25">
      <c r="A396" s="216"/>
      <c r="C396" s="152" t="s">
        <v>119</v>
      </c>
      <c r="D396" s="159"/>
    </row>
    <row r="397" spans="1:10" ht="14.1" customHeight="1" x14ac:dyDescent="0.25">
      <c r="A397" s="216"/>
      <c r="B397" s="126"/>
      <c r="C397" s="237"/>
      <c r="D397" s="17"/>
      <c r="E397" s="237"/>
      <c r="F397" s="237"/>
      <c r="G397" s="237"/>
      <c r="H397" s="237"/>
      <c r="I397" s="237"/>
      <c r="J397" s="62"/>
    </row>
    <row r="398" spans="1:10" ht="14.1" customHeight="1" x14ac:dyDescent="0.25">
      <c r="A398" s="216"/>
      <c r="B398" s="74"/>
      <c r="C398" s="217" t="s">
        <v>112</v>
      </c>
      <c r="D398" s="159"/>
      <c r="E398" s="152"/>
      <c r="G398" s="152"/>
      <c r="H398" s="152"/>
      <c r="I398" s="152"/>
      <c r="J398" s="132"/>
    </row>
    <row r="399" spans="1:10" ht="14.1" customHeight="1" x14ac:dyDescent="0.25">
      <c r="A399" s="216"/>
      <c r="B399" s="74"/>
      <c r="C399" s="152"/>
      <c r="D399" s="159"/>
      <c r="E399" s="152"/>
      <c r="G399" s="152"/>
      <c r="H399" s="152"/>
      <c r="I399" s="152"/>
      <c r="J399" s="132"/>
    </row>
    <row r="400" spans="1:10" ht="14.1" customHeight="1" x14ac:dyDescent="0.25">
      <c r="A400" s="216"/>
      <c r="B400" s="74"/>
      <c r="C400" s="151" t="s">
        <v>113</v>
      </c>
      <c r="D400" s="187"/>
      <c r="E400" s="152"/>
      <c r="F400" s="152"/>
      <c r="G400" s="152"/>
      <c r="H400" s="152"/>
      <c r="I400" s="152"/>
      <c r="J400" s="132"/>
    </row>
    <row r="401" spans="1:10" ht="14.1" customHeight="1" x14ac:dyDescent="0.25">
      <c r="A401" s="216"/>
      <c r="B401" s="74"/>
      <c r="C401" s="257" t="s">
        <v>6</v>
      </c>
      <c r="D401" s="268"/>
      <c r="E401" s="152"/>
      <c r="F401" s="152"/>
      <c r="G401" s="152"/>
      <c r="H401" s="152"/>
      <c r="I401" s="152"/>
      <c r="J401" s="132"/>
    </row>
    <row r="402" spans="1:10" ht="14.1" customHeight="1" x14ac:dyDescent="0.25">
      <c r="A402" s="216"/>
      <c r="B402" s="74"/>
      <c r="C402" s="246" t="s">
        <v>92</v>
      </c>
      <c r="D402" s="46"/>
      <c r="E402" s="152"/>
      <c r="G402" s="152"/>
      <c r="H402" s="152"/>
      <c r="I402" s="152"/>
      <c r="J402" s="132"/>
    </row>
    <row r="403" spans="1:10" ht="14.1" customHeight="1" x14ac:dyDescent="0.25">
      <c r="A403" s="216"/>
      <c r="B403" s="74"/>
      <c r="C403" s="246" t="s">
        <v>75</v>
      </c>
      <c r="D403" s="46"/>
      <c r="E403" s="152"/>
      <c r="F403" s="152"/>
      <c r="G403" s="152"/>
      <c r="H403" s="152"/>
      <c r="I403" s="152"/>
      <c r="J403" s="132"/>
    </row>
    <row r="404" spans="1:10" ht="14.1" customHeight="1" x14ac:dyDescent="0.25">
      <c r="A404" s="216"/>
      <c r="B404" s="74"/>
      <c r="C404" s="57" t="s">
        <v>50</v>
      </c>
      <c r="D404" s="35"/>
      <c r="E404" s="152"/>
      <c r="F404" s="152"/>
      <c r="G404" s="152"/>
      <c r="H404" s="152"/>
      <c r="I404" s="152"/>
      <c r="J404" s="132"/>
    </row>
    <row r="405" spans="1:10" ht="14.1" customHeight="1" x14ac:dyDescent="0.25">
      <c r="A405" s="216"/>
      <c r="B405" s="74"/>
      <c r="C405" s="226"/>
      <c r="D405" s="147"/>
      <c r="E405" s="152"/>
      <c r="F405" s="152"/>
      <c r="G405" s="152"/>
      <c r="H405" s="152"/>
      <c r="I405" s="152"/>
      <c r="J405" s="132"/>
    </row>
    <row r="406" spans="1:10" ht="14.1" customHeight="1" x14ac:dyDescent="0.25">
      <c r="A406" s="216"/>
      <c r="B406" s="74"/>
      <c r="C406" s="101"/>
      <c r="D406" s="133"/>
      <c r="E406" s="152"/>
      <c r="F406" s="152"/>
      <c r="G406" s="152"/>
      <c r="H406" s="152"/>
      <c r="I406" s="152"/>
      <c r="J406" s="132"/>
    </row>
    <row r="407" spans="1:10" ht="14.1" customHeight="1" x14ac:dyDescent="0.25">
      <c r="A407" s="216"/>
      <c r="B407" s="74"/>
      <c r="C407" s="152"/>
      <c r="D407" s="159"/>
      <c r="E407" s="152"/>
      <c r="F407" s="152"/>
      <c r="G407" s="152"/>
      <c r="H407" s="152"/>
      <c r="I407" s="152"/>
      <c r="J407" s="132"/>
    </row>
    <row r="408" spans="1:10" ht="14.1" customHeight="1" x14ac:dyDescent="0.25">
      <c r="A408" s="216"/>
      <c r="B408" s="74"/>
      <c r="C408" s="152"/>
      <c r="D408" s="152"/>
      <c r="E408" s="152"/>
      <c r="F408" s="152"/>
      <c r="G408" s="152"/>
      <c r="H408" s="152"/>
      <c r="I408" s="152"/>
      <c r="J408" s="132"/>
    </row>
    <row r="409" spans="1:10" ht="29.25" customHeight="1" x14ac:dyDescent="0.25">
      <c r="A409" s="216"/>
      <c r="B409" s="229"/>
      <c r="C409" s="232" t="s">
        <v>15</v>
      </c>
      <c r="D409" s="232"/>
      <c r="E409" s="232"/>
      <c r="F409" s="232"/>
      <c r="G409" s="232"/>
      <c r="H409" s="232"/>
      <c r="I409" s="232"/>
      <c r="J409" s="236"/>
    </row>
    <row r="410" spans="1:10" ht="78" customHeight="1" x14ac:dyDescent="0.25">
      <c r="A410" s="216"/>
      <c r="B410" s="200"/>
      <c r="C410" s="20" t="s">
        <v>114</v>
      </c>
      <c r="D410" s="22" t="s">
        <v>115</v>
      </c>
      <c r="E410" s="20" t="s">
        <v>142</v>
      </c>
      <c r="F410" s="20" t="s">
        <v>143</v>
      </c>
      <c r="G410" s="25" t="s">
        <v>144</v>
      </c>
      <c r="H410" s="20" t="s">
        <v>145</v>
      </c>
      <c r="I410" s="222"/>
      <c r="J410" s="13"/>
    </row>
    <row r="411" spans="1:10" ht="14.1" customHeight="1" x14ac:dyDescent="0.25">
      <c r="A411" s="216"/>
      <c r="B411" s="74"/>
      <c r="C411" s="263" t="s">
        <v>116</v>
      </c>
      <c r="D411" s="10"/>
      <c r="E411" s="26">
        <f>E413+E412</f>
        <v>0</v>
      </c>
      <c r="F411" s="26">
        <f>F413+F412</f>
        <v>2196.7471299999997</v>
      </c>
      <c r="G411" s="87"/>
      <c r="H411" s="26">
        <f>SUM(H412:H413)</f>
        <v>1387.6323299999999</v>
      </c>
      <c r="I411" s="27"/>
      <c r="J411" s="132"/>
    </row>
    <row r="412" spans="1:10" ht="14.1" customHeight="1" x14ac:dyDescent="0.25">
      <c r="A412" s="216"/>
      <c r="B412" s="74"/>
      <c r="C412" s="29" t="s">
        <v>8</v>
      </c>
      <c r="D412" s="206"/>
      <c r="E412" s="207">
        <f>0</f>
        <v>0</v>
      </c>
      <c r="F412" s="207">
        <f>1713.27513</f>
        <v>1713.27513</v>
      </c>
      <c r="G412" s="208"/>
      <c r="H412" s="207">
        <f>1082.54115</f>
        <v>1082.54115</v>
      </c>
      <c r="I412" s="152"/>
      <c r="J412" s="132"/>
    </row>
    <row r="413" spans="1:10" ht="14.1" customHeight="1" x14ac:dyDescent="0.25">
      <c r="A413" s="216"/>
      <c r="B413" s="74"/>
      <c r="C413" s="29" t="s">
        <v>11</v>
      </c>
      <c r="D413" s="209"/>
      <c r="E413" s="210">
        <f>0</f>
        <v>0</v>
      </c>
      <c r="F413" s="210">
        <f>483.472</f>
        <v>483.47199999999998</v>
      </c>
      <c r="G413" s="211"/>
      <c r="H413" s="210">
        <f>305.09118</f>
        <v>305.09118000000001</v>
      </c>
      <c r="I413" s="152"/>
      <c r="J413" s="132"/>
    </row>
    <row r="414" spans="1:10" ht="14.1" customHeight="1" x14ac:dyDescent="0.25">
      <c r="A414" s="216"/>
      <c r="B414" s="74"/>
      <c r="C414" s="263" t="s">
        <v>117</v>
      </c>
      <c r="D414" s="10"/>
      <c r="E414" s="26">
        <f>SUM(E415:E416)</f>
        <v>0</v>
      </c>
      <c r="F414" s="26">
        <f>SUM(F415:F416)</f>
        <v>1463.1578500000001</v>
      </c>
      <c r="G414" s="87"/>
      <c r="H414" s="26">
        <f>SUM(H415:H416)</f>
        <v>1811.0628700000002</v>
      </c>
      <c r="I414" s="27"/>
      <c r="J414" s="132"/>
    </row>
    <row r="415" spans="1:10" ht="14.1" customHeight="1" x14ac:dyDescent="0.25">
      <c r="A415" s="216"/>
      <c r="B415" s="74"/>
      <c r="C415" s="29" t="s">
        <v>8</v>
      </c>
      <c r="D415" s="44"/>
      <c r="E415" s="30">
        <f>0</f>
        <v>0</v>
      </c>
      <c r="F415" s="30">
        <f>1123.31977</f>
        <v>1123.3197700000001</v>
      </c>
      <c r="G415" s="99"/>
      <c r="H415" s="30">
        <f>1413.4299</f>
        <v>1413.4299000000001</v>
      </c>
      <c r="I415" s="152"/>
      <c r="J415" s="132"/>
    </row>
    <row r="416" spans="1:10" ht="14.1" customHeight="1" x14ac:dyDescent="0.25">
      <c r="A416" s="216"/>
      <c r="B416" s="74"/>
      <c r="C416" s="29" t="s">
        <v>11</v>
      </c>
      <c r="D416" s="219"/>
      <c r="E416" s="30">
        <f>0</f>
        <v>0</v>
      </c>
      <c r="F416" s="30">
        <f>339.83808</f>
        <v>339.83807999999999</v>
      </c>
      <c r="G416" s="110"/>
      <c r="H416" s="30">
        <f>397.63297</f>
        <v>397.63297</v>
      </c>
      <c r="I416" s="152"/>
      <c r="J416" s="132"/>
    </row>
    <row r="417" spans="1:10" ht="14.1" customHeight="1" x14ac:dyDescent="0.25">
      <c r="A417" s="216"/>
      <c r="B417" s="74"/>
      <c r="C417" s="263" t="s">
        <v>118</v>
      </c>
      <c r="D417" s="10"/>
      <c r="E417" s="36">
        <f>SUM(E418:E419)</f>
        <v>41.03248</v>
      </c>
      <c r="F417" s="36">
        <f>SUM(F418:F419)</f>
        <v>94.288990000000013</v>
      </c>
      <c r="G417" s="87"/>
      <c r="H417" s="36">
        <f>SUM(H418:H419)</f>
        <v>239.2448</v>
      </c>
      <c r="I417" s="152"/>
      <c r="J417" s="132"/>
    </row>
    <row r="418" spans="1:10" ht="14.1" customHeight="1" x14ac:dyDescent="0.25">
      <c r="A418" s="216"/>
      <c r="B418" s="74"/>
      <c r="C418" s="29" t="s">
        <v>8</v>
      </c>
      <c r="D418" s="44"/>
      <c r="E418" s="30">
        <f>33.80648</f>
        <v>33.806480000000001</v>
      </c>
      <c r="F418" s="30">
        <f>73.32098</f>
        <v>73.320980000000006</v>
      </c>
      <c r="G418" s="99"/>
      <c r="H418" s="30">
        <f>195.99148</f>
        <v>195.99148</v>
      </c>
      <c r="I418" s="152"/>
      <c r="J418" s="132"/>
    </row>
    <row r="419" spans="1:10" ht="14.1" customHeight="1" x14ac:dyDescent="0.25">
      <c r="A419" s="216"/>
      <c r="B419" s="74"/>
      <c r="C419" s="29" t="s">
        <v>11</v>
      </c>
      <c r="D419" s="219"/>
      <c r="E419" s="30">
        <f>7.226</f>
        <v>7.226</v>
      </c>
      <c r="F419" s="30">
        <f>20.96801</f>
        <v>20.96801</v>
      </c>
      <c r="G419" s="110"/>
      <c r="H419" s="30">
        <f>43.25332</f>
        <v>43.253320000000002</v>
      </c>
      <c r="I419" s="152"/>
      <c r="J419" s="132"/>
    </row>
    <row r="420" spans="1:10" ht="14.1" customHeight="1" x14ac:dyDescent="0.25">
      <c r="A420" s="216"/>
      <c r="B420" s="74"/>
      <c r="C420" s="277" t="s">
        <v>98</v>
      </c>
      <c r="D420" s="37"/>
      <c r="E420" s="39"/>
      <c r="F420" s="39"/>
      <c r="G420" s="40"/>
      <c r="H420" s="39"/>
      <c r="I420" s="152"/>
      <c r="J420" s="132"/>
    </row>
    <row r="421" spans="1:10" ht="14.1" customHeight="1" x14ac:dyDescent="0.25">
      <c r="A421" s="216"/>
      <c r="B421" s="74"/>
      <c r="C421" s="283" t="s">
        <v>88</v>
      </c>
      <c r="D421" s="41"/>
      <c r="E421" s="42">
        <f>E411+E414+E417+E420</f>
        <v>41.03248</v>
      </c>
      <c r="F421" s="42">
        <f>F411+F414+F417+F420</f>
        <v>3754.1939699999998</v>
      </c>
      <c r="G421" s="43"/>
      <c r="H421" s="42">
        <f>H411+H414+H417+H420</f>
        <v>3437.94</v>
      </c>
      <c r="I421" s="27"/>
      <c r="J421" s="132"/>
    </row>
    <row r="422" spans="1:10" ht="18.75" customHeight="1" x14ac:dyDescent="0.25">
      <c r="A422" s="216"/>
      <c r="B422" s="74"/>
      <c r="C422" s="152" t="s">
        <v>140</v>
      </c>
      <c r="D422" s="159"/>
      <c r="E422" s="152"/>
      <c r="F422" s="152"/>
      <c r="G422" s="152"/>
      <c r="H422" s="152"/>
      <c r="I422" s="152"/>
      <c r="J422" s="132"/>
    </row>
    <row r="423" spans="1:10" ht="14.1" customHeight="1" x14ac:dyDescent="0.25">
      <c r="A423" s="216"/>
      <c r="B423" s="8"/>
      <c r="C423" s="212" t="s">
        <v>141</v>
      </c>
      <c r="D423" s="202"/>
      <c r="E423" s="212"/>
      <c r="F423" s="212"/>
      <c r="G423" s="212"/>
      <c r="H423" s="212"/>
      <c r="I423" s="212"/>
      <c r="J423" s="12"/>
    </row>
    <row r="424" spans="1:10" ht="0" hidden="1" customHeight="1" x14ac:dyDescent="0.25"/>
    <row r="425" spans="1:10" ht="0" hidden="1" customHeight="1" x14ac:dyDescent="0.25"/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16.5" customHeight="1" x14ac:dyDescent="0.25"/>
  </sheetData>
  <mergeCells count="11">
    <mergeCell ref="C52:H52"/>
    <mergeCell ref="D55:D59"/>
    <mergeCell ref="G55:G59"/>
    <mergeCell ref="C81:D81"/>
    <mergeCell ref="E81:F81"/>
    <mergeCell ref="G81:H81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37&amp;R18.09.2023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2023-09-18T08:09:02Z</dcterms:modified>
</cp:coreProperties>
</file>