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DCD4B30F-6FCB-4DCD-9A90-F1B4FCBA01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22" i="1"/>
  <c r="F422" i="1"/>
  <c r="G422" i="1" s="1"/>
  <c r="E422" i="1"/>
  <c r="H421" i="1"/>
  <c r="H419" i="1" s="1"/>
  <c r="F421" i="1"/>
  <c r="E421" i="1"/>
  <c r="E419" i="1" s="1"/>
  <c r="H420" i="1"/>
  <c r="F420" i="1"/>
  <c r="E420" i="1"/>
  <c r="F419" i="1"/>
  <c r="G419" i="1" s="1"/>
  <c r="H418" i="1"/>
  <c r="F418" i="1"/>
  <c r="E418" i="1"/>
  <c r="H417" i="1"/>
  <c r="F417" i="1"/>
  <c r="F416" i="1" s="1"/>
  <c r="G416" i="1" s="1"/>
  <c r="E417" i="1"/>
  <c r="E416" i="1" s="1"/>
  <c r="H416" i="1"/>
  <c r="H415" i="1"/>
  <c r="F415" i="1"/>
  <c r="E415" i="1"/>
  <c r="H414" i="1"/>
  <c r="H413" i="1" s="1"/>
  <c r="H423" i="1" s="1"/>
  <c r="F414" i="1"/>
  <c r="F413" i="1" s="1"/>
  <c r="E414" i="1"/>
  <c r="E413" i="1" s="1"/>
  <c r="I390" i="1"/>
  <c r="H390" i="1"/>
  <c r="G390" i="1"/>
  <c r="F390" i="1"/>
  <c r="I389" i="1"/>
  <c r="H389" i="1"/>
  <c r="G389" i="1"/>
  <c r="F389" i="1"/>
  <c r="I388" i="1"/>
  <c r="G388" i="1"/>
  <c r="G386" i="1" s="1"/>
  <c r="H386" i="1" s="1"/>
  <c r="F388" i="1"/>
  <c r="I387" i="1"/>
  <c r="I386" i="1" s="1"/>
  <c r="I391" i="1" s="1"/>
  <c r="G387" i="1"/>
  <c r="F387" i="1"/>
  <c r="F386" i="1" s="1"/>
  <c r="I385" i="1"/>
  <c r="G385" i="1"/>
  <c r="H385" i="1" s="1"/>
  <c r="F385" i="1"/>
  <c r="I384" i="1"/>
  <c r="H384" i="1"/>
  <c r="G384" i="1"/>
  <c r="F384" i="1"/>
  <c r="I383" i="1"/>
  <c r="G383" i="1"/>
  <c r="G380" i="1" s="1"/>
  <c r="G391" i="1" s="1"/>
  <c r="F383" i="1"/>
  <c r="F380" i="1" s="1"/>
  <c r="I382" i="1"/>
  <c r="H382" i="1"/>
  <c r="G382" i="1"/>
  <c r="F382" i="1"/>
  <c r="I381" i="1"/>
  <c r="G381" i="1"/>
  <c r="H381" i="1" s="1"/>
  <c r="F381" i="1"/>
  <c r="I380" i="1"/>
  <c r="D380" i="1"/>
  <c r="D391" i="1" s="1"/>
  <c r="H372" i="1"/>
  <c r="F372" i="1"/>
  <c r="H354" i="1"/>
  <c r="D354" i="1"/>
  <c r="H353" i="1"/>
  <c r="F353" i="1"/>
  <c r="G353" i="1" s="1"/>
  <c r="E353" i="1"/>
  <c r="H352" i="1"/>
  <c r="G352" i="1"/>
  <c r="F352" i="1"/>
  <c r="E352" i="1"/>
  <c r="H351" i="1"/>
  <c r="F351" i="1"/>
  <c r="G351" i="1" s="1"/>
  <c r="E351" i="1"/>
  <c r="H350" i="1"/>
  <c r="G350" i="1"/>
  <c r="F350" i="1"/>
  <c r="F354" i="1" s="1"/>
  <c r="E350" i="1"/>
  <c r="E354" i="1" s="1"/>
  <c r="D343" i="1"/>
  <c r="D299" i="1"/>
  <c r="H298" i="1"/>
  <c r="G298" i="1"/>
  <c r="F298" i="1"/>
  <c r="E298" i="1"/>
  <c r="H297" i="1"/>
  <c r="H295" i="1" s="1"/>
  <c r="H299" i="1" s="1"/>
  <c r="F297" i="1"/>
  <c r="F295" i="1" s="1"/>
  <c r="E297" i="1"/>
  <c r="H296" i="1"/>
  <c r="F296" i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E249" i="1" s="1"/>
  <c r="E253" i="1" s="1"/>
  <c r="H249" i="1"/>
  <c r="H253" i="1" s="1"/>
  <c r="D207" i="1"/>
  <c r="G207" i="1" s="1"/>
  <c r="H206" i="1"/>
  <c r="G206" i="1"/>
  <c r="F206" i="1"/>
  <c r="E206" i="1"/>
  <c r="H205" i="1"/>
  <c r="F205" i="1"/>
  <c r="F207" i="1" s="1"/>
  <c r="E205" i="1"/>
  <c r="E207" i="1" s="1"/>
  <c r="H204" i="1"/>
  <c r="H207" i="1" s="1"/>
  <c r="F204" i="1"/>
  <c r="G204" i="1" s="1"/>
  <c r="E20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E178" i="1" s="1"/>
  <c r="E184" i="1" s="1"/>
  <c r="H179" i="1"/>
  <c r="H178" i="1" s="1"/>
  <c r="F179" i="1"/>
  <c r="E179" i="1"/>
  <c r="H177" i="1"/>
  <c r="G177" i="1"/>
  <c r="F177" i="1"/>
  <c r="E177" i="1"/>
  <c r="H176" i="1"/>
  <c r="F176" i="1"/>
  <c r="E176" i="1"/>
  <c r="H175" i="1"/>
  <c r="F175" i="1"/>
  <c r="G175" i="1" s="1"/>
  <c r="E175" i="1"/>
  <c r="I148" i="1"/>
  <c r="H148" i="1"/>
  <c r="G148" i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H141" i="1"/>
  <c r="G141" i="1"/>
  <c r="F141" i="1"/>
  <c r="I140" i="1"/>
  <c r="G140" i="1"/>
  <c r="G139" i="1" s="1"/>
  <c r="F140" i="1"/>
  <c r="F139" i="1" s="1"/>
  <c r="I139" i="1"/>
  <c r="E139" i="1"/>
  <c r="D139" i="1"/>
  <c r="D133" i="1" s="1"/>
  <c r="I138" i="1"/>
  <c r="H138" i="1"/>
  <c r="F138" i="1"/>
  <c r="I137" i="1"/>
  <c r="H137" i="1"/>
  <c r="F137" i="1"/>
  <c r="I136" i="1"/>
  <c r="I134" i="1" s="1"/>
  <c r="I133" i="1" s="1"/>
  <c r="H136" i="1"/>
  <c r="F136" i="1"/>
  <c r="I135" i="1"/>
  <c r="G134" i="1"/>
  <c r="F135" i="1"/>
  <c r="F134" i="1" s="1"/>
  <c r="F133" i="1" s="1"/>
  <c r="E134" i="1"/>
  <c r="E133" i="1" s="1"/>
  <c r="D134" i="1"/>
  <c r="I132" i="1"/>
  <c r="F132" i="1"/>
  <c r="I131" i="1"/>
  <c r="H131" i="1"/>
  <c r="G131" i="1"/>
  <c r="F131" i="1"/>
  <c r="I130" i="1"/>
  <c r="H130" i="1"/>
  <c r="G130" i="1"/>
  <c r="F130" i="1"/>
  <c r="F128" i="1" s="1"/>
  <c r="I129" i="1"/>
  <c r="I128" i="1" s="1"/>
  <c r="I150" i="1" s="1"/>
  <c r="H129" i="1"/>
  <c r="H128" i="1" s="1"/>
  <c r="G129" i="1"/>
  <c r="F129" i="1"/>
  <c r="G128" i="1"/>
  <c r="E128" i="1"/>
  <c r="E150" i="1" s="1"/>
  <c r="D128" i="1"/>
  <c r="D150" i="1" s="1"/>
  <c r="C126" i="1"/>
  <c r="D107" i="1"/>
  <c r="I106" i="1"/>
  <c r="H106" i="1"/>
  <c r="G106" i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I96" i="1" s="1"/>
  <c r="I95" i="1" s="1"/>
  <c r="H98" i="1"/>
  <c r="G98" i="1"/>
  <c r="F98" i="1"/>
  <c r="I97" i="1"/>
  <c r="G97" i="1"/>
  <c r="G96" i="1" s="1"/>
  <c r="G95" i="1" s="1"/>
  <c r="F97" i="1"/>
  <c r="F96" i="1" s="1"/>
  <c r="F95" i="1" s="1"/>
  <c r="E96" i="1"/>
  <c r="D96" i="1"/>
  <c r="E95" i="1"/>
  <c r="D95" i="1"/>
  <c r="I94" i="1"/>
  <c r="G94" i="1"/>
  <c r="H94" i="1" s="1"/>
  <c r="H92" i="1" s="1"/>
  <c r="F94" i="1"/>
  <c r="F92" i="1" s="1"/>
  <c r="I93" i="1"/>
  <c r="I92" i="1" s="1"/>
  <c r="I107" i="1" s="1"/>
  <c r="H93" i="1"/>
  <c r="G93" i="1"/>
  <c r="F93" i="1"/>
  <c r="G92" i="1"/>
  <c r="G107" i="1" s="1"/>
  <c r="E92" i="1"/>
  <c r="E107" i="1" s="1"/>
  <c r="D92" i="1"/>
  <c r="C89" i="1"/>
  <c r="H85" i="1"/>
  <c r="F85" i="1"/>
  <c r="D85" i="1"/>
  <c r="G61" i="1"/>
  <c r="G60" i="1"/>
  <c r="H55" i="1"/>
  <c r="I32" i="1" s="1"/>
  <c r="F55" i="1"/>
  <c r="G55" i="1" s="1"/>
  <c r="E55" i="1"/>
  <c r="I43" i="1"/>
  <c r="G43" i="1"/>
  <c r="H43" i="1" s="1"/>
  <c r="F43" i="1"/>
  <c r="H42" i="1"/>
  <c r="I41" i="1"/>
  <c r="H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I34" i="1" s="1"/>
  <c r="I26" i="1" s="1"/>
  <c r="G35" i="1"/>
  <c r="G34" i="1" s="1"/>
  <c r="F35" i="1"/>
  <c r="F34" i="1"/>
  <c r="F26" i="1" s="1"/>
  <c r="D34" i="1"/>
  <c r="D26" i="1" s="1"/>
  <c r="I33" i="1"/>
  <c r="G33" i="1"/>
  <c r="H33" i="1" s="1"/>
  <c r="F33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I27" i="1" s="1"/>
  <c r="G29" i="1"/>
  <c r="H29" i="1" s="1"/>
  <c r="F29" i="1"/>
  <c r="I28" i="1"/>
  <c r="G28" i="1"/>
  <c r="G27" i="1" s="1"/>
  <c r="F28" i="1"/>
  <c r="F27" i="1" s="1"/>
  <c r="E27" i="1"/>
  <c r="D27" i="1"/>
  <c r="E26" i="1"/>
  <c r="I25" i="1"/>
  <c r="G25" i="1"/>
  <c r="H25" i="1" s="1"/>
  <c r="F25" i="1"/>
  <c r="F23" i="1" s="1"/>
  <c r="F44" i="1" s="1"/>
  <c r="I24" i="1"/>
  <c r="I23" i="1" s="1"/>
  <c r="I44" i="1" s="1"/>
  <c r="G24" i="1"/>
  <c r="H24" i="1" s="1"/>
  <c r="F24" i="1"/>
  <c r="G23" i="1"/>
  <c r="E23" i="1"/>
  <c r="E44" i="1" s="1"/>
  <c r="D23" i="1"/>
  <c r="D44" i="1" s="1"/>
  <c r="H16" i="1"/>
  <c r="F16" i="1"/>
  <c r="D16" i="1"/>
  <c r="H35" i="1" l="1"/>
  <c r="G26" i="1"/>
  <c r="G44" i="1" s="1"/>
  <c r="H34" i="1"/>
  <c r="F150" i="1"/>
  <c r="G249" i="1"/>
  <c r="F253" i="1"/>
  <c r="G253" i="1" s="1"/>
  <c r="F391" i="1"/>
  <c r="E423" i="1"/>
  <c r="F423" i="1"/>
  <c r="G413" i="1"/>
  <c r="H184" i="1"/>
  <c r="H23" i="1"/>
  <c r="F107" i="1"/>
  <c r="G354" i="1"/>
  <c r="G133" i="1"/>
  <c r="G150" i="1" s="1"/>
  <c r="G295" i="1"/>
  <c r="F299" i="1"/>
  <c r="G299" i="1" s="1"/>
  <c r="F184" i="1"/>
  <c r="G184" i="1" s="1"/>
  <c r="G205" i="1"/>
  <c r="H28" i="1"/>
  <c r="H27" i="1" s="1"/>
  <c r="H97" i="1"/>
  <c r="H96" i="1" s="1"/>
  <c r="H95" i="1" s="1"/>
  <c r="H107" i="1" s="1"/>
  <c r="H135" i="1"/>
  <c r="H134" i="1" s="1"/>
  <c r="H140" i="1"/>
  <c r="H139" i="1" s="1"/>
  <c r="H383" i="1"/>
  <c r="H380" i="1" s="1"/>
  <c r="H391" i="1" s="1"/>
  <c r="H133" i="1" l="1"/>
  <c r="H150" i="1" s="1"/>
  <c r="H26" i="1"/>
  <c r="H44" i="1" s="1"/>
</calcChain>
</file>

<file path=xl/sharedStrings.xml><?xml version="1.0" encoding="utf-8"?>
<sst xmlns="http://schemas.openxmlformats.org/spreadsheetml/2006/main" count="360" uniqueCount="153">
  <si>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</si>
  <si>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</si>
  <si>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</si>
  <si>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</si>
  <si>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</si>
  <si>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</si>
  <si>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</si>
  <si>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</si>
  <si>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</si>
  <si>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</si>
  <si>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</si>
  <si>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</si>
  <si>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</si>
  <si>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</si>
  <si>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</si>
  <si>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</si>
  <si>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</si>
  <si>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</si>
  <si>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</si>
  <si>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</si>
  <si>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</si>
  <si>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</si>
  <si>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</si>
  <si>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</si>
  <si>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</si>
  <si>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</si>
  <si>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</si>
  <si>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</si>
  <si>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</si>
  <si>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</si>
  <si>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</si>
  <si>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</si>
  <si>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</si>
  <si>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</si>
  <si>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</si>
  <si>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</si>
  <si>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</si>
  <si>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</si>
  <si>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</si>
  <si>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</si>
  <si>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</si>
  <si>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</si>
  <si>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</si>
  <si>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</si>
  <si>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</si>
  <si>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</si>
  <si>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</si>
  <si>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</si>
  <si>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</si>
  <si>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</si>
  <si>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</si>
  <si>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</si>
  <si>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</si>
  <si>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</si>
  <si>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</si>
  <si>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</si>
  <si>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</si>
  <si>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</si>
  <si>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</si>
  <si>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</si>
  <si>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</si>
  <si>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</si>
  <si>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</si>
  <si>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</si>
  <si>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</si>
  <si>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</si>
  <si>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</si>
  <si>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</si>
  <si>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</si>
  <si>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</si>
  <si>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</si>
  <si>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</si>
  <si>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</si>
  <si>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</si>
  <si>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</si>
  <si>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</si>
  <si>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</si>
  <si>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</si>
  <si>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</si>
  <si>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</si>
  <si>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</si>
  <si>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</si>
  <si>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</si>
  <si>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</si>
  <si>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</si>
  <si>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</si>
  <si>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</si>
  <si>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</si>
  <si>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</si>
  <si>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</si>
  <si>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</si>
  <si>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</si>
  <si>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</si>
  <si>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</si>
  <si>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</si>
  <si>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</si>
  <si>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</si>
  <si>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</si>
  <si>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</si>
  <si>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</si>
  <si>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</si>
  <si>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</si>
  <si>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</si>
  <si>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</si>
  <si>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</si>
  <si>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</si>
  <si>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</si>
  <si>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</si>
  <si>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</si>
  <si>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</si>
  <si>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</si>
  <si>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</si>
  <si>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</si>
  <si>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</si>
  <si>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</si>
  <si>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</si>
  <si>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</si>
  <si>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</si>
  <si>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</si>
  <si>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</si>
  <si>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</si>
  <si>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</si>
  <si>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</si>
  <si>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</si>
  <si>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</si>
  <si>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</si>
  <si>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</si>
  <si>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</si>
  <si>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</si>
  <si>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</si>
  <si>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</si>
  <si>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</si>
  <si>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</si>
  <si>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</si>
  <si>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</si>
  <si>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</si>
  <si>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</si>
  <si>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</si>
  <si>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</si>
  <si>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</si>
  <si>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</si>
  <si>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</si>
  <si>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t xml:space="preserve">  under 11 meter og 843 tonn etter gjeldende fordeling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</si>
  <si>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</si>
  <si>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</si>
  <si>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FANGST UKE 9</t>
  </si>
  <si>
    <t>FANGST T.O.M UKE 9</t>
  </si>
  <si>
    <t>RESTKVOTER UKE 9</t>
  </si>
  <si>
    <t>FANGST T.O.M UKE 9 2023</t>
  </si>
  <si>
    <r>
      <t xml:space="preserve">3 </t>
    </r>
    <r>
      <rPr>
        <sz val="9"/>
        <color indexed="8"/>
        <rFont val="Calibri"/>
        <family val="2"/>
      </rPr>
      <t>Registrert rekreasjonsfiske utgjør 120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</si>
  <si>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300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</si>
  <si>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</si>
  <si>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427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</si>
</sst>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70" zoomScaleNormal="85" zoomScaleSheetLayoutView="100" zoomScalePageLayoutView="70" workbookViewId="0">
      <selection activeCell="C21" sqref="C21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1" t="s">
        <v>123</v>
      </c>
      <c r="C2" s="302"/>
      <c r="D2" s="302"/>
      <c r="E2" s="302"/>
      <c r="F2" s="302"/>
      <c r="G2" s="302"/>
      <c r="H2" s="302"/>
      <c r="I2" s="302"/>
      <c r="J2" s="303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4"/>
      <c r="C9" s="305"/>
      <c r="D9" s="305"/>
      <c r="E9" s="305"/>
      <c r="F9" s="305"/>
      <c r="G9" s="305"/>
      <c r="H9" s="305"/>
      <c r="I9" s="305"/>
      <c r="J9" s="306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15" customHeight="1" x14ac:dyDescent="0.25">
      <c r="A17" s="101"/>
      <c r="B17" s="24"/>
      <c r="C17" s="101" t="s">
        <v>143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0"/>
      <c r="C18" s="216" t="s">
        <v>142</v>
      </c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145</v>
      </c>
      <c r="G22" s="68" t="s">
        <v>146</v>
      </c>
      <c r="H22" s="68" t="s">
        <v>147</v>
      </c>
      <c r="I22" s="68" t="s">
        <v>148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1015.57328</v>
      </c>
      <c r="G23" s="28">
        <f t="shared" si="0"/>
        <v>18191.5209</v>
      </c>
      <c r="H23" s="11">
        <f t="shared" si="0"/>
        <v>42620.479100000004</v>
      </c>
      <c r="I23" s="11">
        <f t="shared" si="0"/>
        <v>22549.806629999999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1015.57328</f>
        <v>1015.57328</v>
      </c>
      <c r="G24" s="23">
        <f>17999.7924</f>
        <v>17999.792399999998</v>
      </c>
      <c r="H24" s="23">
        <f>E24-G24</f>
        <v>42042.207600000002</v>
      </c>
      <c r="I24" s="23">
        <f>22494.38163</f>
        <v>22494.38163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191.7285</f>
        <v>191.7285</v>
      </c>
      <c r="H25" s="23">
        <f>E25-G25</f>
        <v>578.27150000000006</v>
      </c>
      <c r="I25" s="23">
        <f>55.425</f>
        <v>55.424999999999997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144822</v>
      </c>
      <c r="F26" s="28">
        <f t="shared" ref="F26:I26" si="1">F34+F33+F27</f>
        <v>7831.8522299999995</v>
      </c>
      <c r="G26" s="11">
        <f t="shared" si="1"/>
        <v>47866.72092</v>
      </c>
      <c r="H26" s="11">
        <f t="shared" si="1"/>
        <v>96955.279079999993</v>
      </c>
      <c r="I26" s="11">
        <f t="shared" si="1"/>
        <v>42869.68177000001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6807.2034099999992</v>
      </c>
      <c r="G27" s="132">
        <f t="shared" ref="G27:I27" si="2">G28+G29+G30+G31+G32</f>
        <v>41590.899440000001</v>
      </c>
      <c r="H27" s="132">
        <f t="shared" si="2"/>
        <v>71387.100559999992</v>
      </c>
      <c r="I27" s="132">
        <f t="shared" si="2"/>
        <v>33924.541240000006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1429.01238</f>
        <v>1429.0123799999999</v>
      </c>
      <c r="G28" s="127">
        <f>7936.44656 - F56</f>
        <v>7936.4465600000003</v>
      </c>
      <c r="H28" s="127">
        <f t="shared" ref="H28:H40" si="3">E28-G28</f>
        <v>20693.55344</v>
      </c>
      <c r="I28" s="127">
        <f>7163.69955 - H56</f>
        <v>7163.6995500000003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1638.55489</f>
        <v>1638.5548899999999</v>
      </c>
      <c r="G29" s="127">
        <f>12104.07928 - F57</f>
        <v>12104.07928</v>
      </c>
      <c r="H29" s="127">
        <f t="shared" si="3"/>
        <v>17560.920720000002</v>
      </c>
      <c r="I29" s="127">
        <f>10481.21879 - H57</f>
        <v>10481.218790000001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1517.87912</f>
        <v>1517.8791200000001</v>
      </c>
      <c r="G30" s="127">
        <f>11188.3754 - F58</f>
        <v>11188.375400000001</v>
      </c>
      <c r="H30" s="127">
        <f t="shared" si="3"/>
        <v>16055.624599999999</v>
      </c>
      <c r="I30" s="127">
        <f>8197.2322 - H58</f>
        <v>8197.2322000000004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2221.75702</f>
        <v>2221.75702</v>
      </c>
      <c r="G31" s="127">
        <f>10361.9982 - F59</f>
        <v>10361.9982</v>
      </c>
      <c r="H31" s="127">
        <f t="shared" si="3"/>
        <v>8977.0018</v>
      </c>
      <c r="I31" s="127">
        <f>8082.3907 - H59</f>
        <v>8082.3906999999999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270.08895</f>
        <v>270.08895000000001</v>
      </c>
      <c r="G33" s="132">
        <f>3723.53094</f>
        <v>3723.5309400000001</v>
      </c>
      <c r="H33" s="132">
        <f t="shared" si="3"/>
        <v>13135.469059999999</v>
      </c>
      <c r="I33" s="132">
        <f>5865.25144</f>
        <v>5865.25144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14985</v>
      </c>
      <c r="F34" s="132">
        <f>F35+F36</f>
        <v>754.55987000000005</v>
      </c>
      <c r="G34" s="132">
        <f>G35+G36</f>
        <v>2552.29054</v>
      </c>
      <c r="H34" s="132">
        <f t="shared" si="3"/>
        <v>12432.70946</v>
      </c>
      <c r="I34" s="132">
        <f>I35+I36</f>
        <v>3079.8890900000001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v>14077</v>
      </c>
      <c r="F35" s="127">
        <f>754.55987</f>
        <v>754.55987000000005</v>
      </c>
      <c r="G35" s="132">
        <f>2744.29054 - F60 - F61</f>
        <v>2552.29054</v>
      </c>
      <c r="H35" s="127">
        <f t="shared" si="3"/>
        <v>11524.70946</v>
      </c>
      <c r="I35" s="127">
        <f>3079.88909 - H60 - H61</f>
        <v>3079.8890900000001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0</f>
        <v>0</v>
      </c>
      <c r="H37" s="139">
        <f t="shared" si="3"/>
        <v>2000</v>
      </c>
      <c r="I37" s="139">
        <f>0</f>
        <v>0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41.79478</f>
        <v>41.794780000000003</v>
      </c>
      <c r="G38" s="98">
        <f>101.37103</f>
        <v>101.37103</v>
      </c>
      <c r="H38" s="98">
        <f t="shared" si="3"/>
        <v>753.62896999999998</v>
      </c>
      <c r="I38" s="98">
        <f>71.70848</f>
        <v>71.708479999999994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103</v>
      </c>
      <c r="G39" s="98">
        <f>F61</f>
        <v>192</v>
      </c>
      <c r="H39" s="98">
        <f t="shared" si="3"/>
        <v>2808</v>
      </c>
      <c r="I39" s="98">
        <f>H61</f>
        <v>0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44.7853</f>
        <v>44.785299999999999</v>
      </c>
      <c r="G40" s="98">
        <v>7000</v>
      </c>
      <c r="H40" s="98">
        <f t="shared" si="3"/>
        <v>0</v>
      </c>
      <c r="I40" s="98"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5.489</f>
        <v>5.4889999999999999</v>
      </c>
      <c r="G41" s="98">
        <f>11.1315</f>
        <v>11.131500000000001</v>
      </c>
      <c r="H41" s="98">
        <f>E41-G41</f>
        <v>388.86849999999998</v>
      </c>
      <c r="I41" s="98">
        <f>10.9929</f>
        <v>10.992900000000001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3.051</f>
        <v>3.0510000000000002</v>
      </c>
      <c r="G43" s="139">
        <f>17.2085</f>
        <v>17.208500000000001</v>
      </c>
      <c r="H43" s="139">
        <f t="shared" ref="H43" si="4">E43-G43</f>
        <v>-17.208500000000001</v>
      </c>
      <c r="I43" s="139">
        <f>12.0255</f>
        <v>12.025499999999999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218989</v>
      </c>
      <c r="F44" s="76">
        <f t="shared" si="5"/>
        <v>9045.5455899999979</v>
      </c>
      <c r="G44" s="76">
        <f t="shared" si="5"/>
        <v>73379.956849999988</v>
      </c>
      <c r="H44" s="76">
        <f t="shared" si="5"/>
        <v>145609.04315000001</v>
      </c>
      <c r="I44" s="76">
        <f t="shared" si="5"/>
        <v>72514.215280000004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149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145</v>
      </c>
      <c r="F54" s="68" t="s">
        <v>146</v>
      </c>
      <c r="G54" s="68" t="s">
        <v>147</v>
      </c>
      <c r="H54" s="68" t="s">
        <v>148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/>
      <c r="F60" s="95">
        <v>0</v>
      </c>
      <c r="G60" s="95">
        <f>D60-F60</f>
        <v>960</v>
      </c>
      <c r="H60" s="95"/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103</v>
      </c>
      <c r="F61" s="139">
        <v>192</v>
      </c>
      <c r="G61" s="139">
        <f>D61-F61</f>
        <v>2808</v>
      </c>
      <c r="H61" s="139"/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22.2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144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145</v>
      </c>
      <c r="G91" s="15" t="s">
        <v>146</v>
      </c>
      <c r="H91" s="15" t="s">
        <v>147</v>
      </c>
      <c r="I91" s="15" t="s">
        <v>148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782.03337999999997</v>
      </c>
      <c r="G92" s="11">
        <f t="shared" si="6"/>
        <v>6419.6802600000001</v>
      </c>
      <c r="H92" s="11">
        <f t="shared" si="6"/>
        <v>19541.319740000003</v>
      </c>
      <c r="I92" s="11">
        <f t="shared" si="6"/>
        <v>4396.56358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782.03338</f>
        <v>782.03337999999997</v>
      </c>
      <c r="G93" s="23">
        <f>6210.24586</f>
        <v>6210.24586</v>
      </c>
      <c r="H93" s="23">
        <f>E93-G93</f>
        <v>18925.754140000001</v>
      </c>
      <c r="I93" s="23">
        <f>4351.48078</f>
        <v>4351.4807799999999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209.4344</f>
        <v>209.43440000000001</v>
      </c>
      <c r="H94" s="50">
        <f>E94-G94</f>
        <v>615.56560000000002</v>
      </c>
      <c r="I94" s="50">
        <f>45.0828</f>
        <v>45.082799999999999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651.18678</v>
      </c>
      <c r="G95" s="11">
        <f t="shared" si="7"/>
        <v>9613.1787199999999</v>
      </c>
      <c r="H95" s="11">
        <f t="shared" si="7"/>
        <v>39380.821279999996</v>
      </c>
      <c r="I95" s="11">
        <f t="shared" si="7"/>
        <v>6197.1260999999995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553.87352999999996</v>
      </c>
      <c r="G96" s="132">
        <f t="shared" si="8"/>
        <v>5879.3680400000003</v>
      </c>
      <c r="H96" s="132">
        <f t="shared" si="8"/>
        <v>31614.631959999999</v>
      </c>
      <c r="I96" s="132">
        <f t="shared" si="8"/>
        <v>3521.75981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78.4276</f>
        <v>78.427599999999998</v>
      </c>
      <c r="G97" s="127">
        <f>2035.08478</f>
        <v>2035.0847799999999</v>
      </c>
      <c r="H97" s="127">
        <f t="shared" ref="H97:H104" si="9">E97-G97</f>
        <v>7979.9152199999999</v>
      </c>
      <c r="I97" s="127">
        <f>1056.36472</f>
        <v>1056.36472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213.99127</f>
        <v>213.99126999999999</v>
      </c>
      <c r="G98" s="127">
        <f>2331.66255</f>
        <v>2331.66255</v>
      </c>
      <c r="H98" s="127">
        <f t="shared" si="9"/>
        <v>8282.3374499999991</v>
      </c>
      <c r="I98" s="127">
        <f>1301.20066</f>
        <v>1301.20066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129.37696</f>
        <v>129.37696</v>
      </c>
      <c r="G99" s="127">
        <f>1038.30556</f>
        <v>1038.30556</v>
      </c>
      <c r="H99" s="127">
        <f t="shared" si="9"/>
        <v>9073.6944399999993</v>
      </c>
      <c r="I99" s="127">
        <f>735.40031</f>
        <v>735.40030999999999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132.0777</f>
        <v>132.07769999999999</v>
      </c>
      <c r="G100" s="127">
        <f>474.31515</f>
        <v>474.31515000000002</v>
      </c>
      <c r="H100" s="127">
        <f t="shared" si="9"/>
        <v>6278.6848499999996</v>
      </c>
      <c r="I100" s="127">
        <f>428.79412</f>
        <v>428.79412000000002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39.02806</f>
        <v>39.028060000000004</v>
      </c>
      <c r="G101" s="132">
        <f>2804.99384</f>
        <v>2804.9938400000001</v>
      </c>
      <c r="H101" s="132">
        <f t="shared" si="9"/>
        <v>4791.0061599999999</v>
      </c>
      <c r="I101" s="132">
        <f>2105.45002</f>
        <v>2105.4500200000002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58.28519</f>
        <v>58.28519</v>
      </c>
      <c r="G102" s="75">
        <f>928.81684</f>
        <v>928.81683999999996</v>
      </c>
      <c r="H102" s="75">
        <f t="shared" si="9"/>
        <v>2975.18316</v>
      </c>
      <c r="I102" s="75">
        <f>569.91627</f>
        <v>569.91627000000005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3.15248</f>
        <v>3.1524800000000002</v>
      </c>
      <c r="G103" s="98">
        <f>4.5767</f>
        <v>4.5766999999999998</v>
      </c>
      <c r="H103" s="98">
        <f t="shared" si="9"/>
        <v>314.42329999999998</v>
      </c>
      <c r="I103" s="98">
        <f>0.35665</f>
        <v>0.35665000000000002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2.5171</f>
        <v>2.5171000000000001</v>
      </c>
      <c r="G104" s="139">
        <v>300</v>
      </c>
      <c r="H104" s="139">
        <f t="shared" si="9"/>
        <v>0</v>
      </c>
      <c r="I104" s="139"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0.03214</f>
        <v>3.2140000000000002E-2</v>
      </c>
      <c r="G105" s="98">
        <f>5.2868</f>
        <v>5.2868000000000004</v>
      </c>
      <c r="H105" s="139">
        <f>E105-G105</f>
        <v>44.713200000000001</v>
      </c>
      <c r="I105" s="98">
        <f>3.07616</f>
        <v>3.0761599999999998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2.9723</f>
        <v>2.9723000000000002</v>
      </c>
      <c r="H106" s="139">
        <f t="shared" ref="H106" si="10">E106-G106</f>
        <v>-2.9723000000000002</v>
      </c>
      <c r="I106" s="139">
        <f>0.515</f>
        <v>0.51500000000000001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1438.9218799999999</v>
      </c>
      <c r="G107" s="76">
        <f t="shared" si="12"/>
        <v>16345.69478</v>
      </c>
      <c r="H107" s="76">
        <f t="shared" si="12"/>
        <v>59278.305219999995</v>
      </c>
      <c r="I107" s="76">
        <f t="shared" si="12"/>
        <v>10897.637489999999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150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52226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4091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145</v>
      </c>
      <c r="G127" s="15" t="s">
        <v>146</v>
      </c>
      <c r="H127" s="15" t="s">
        <v>147</v>
      </c>
      <c r="I127" s="15" t="s">
        <v>148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849.21147000000008</v>
      </c>
      <c r="G128" s="11">
        <f t="shared" si="13"/>
        <v>12423.626459999999</v>
      </c>
      <c r="H128" s="11">
        <f t="shared" si="13"/>
        <v>59883.373540000001</v>
      </c>
      <c r="I128" s="11">
        <f t="shared" si="13"/>
        <v>20843.157870000003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849.14047</f>
        <v>849.14047000000005</v>
      </c>
      <c r="G129" s="23">
        <f>10840.97631</f>
        <v>10840.97631</v>
      </c>
      <c r="H129" s="23">
        <f>E129-G129</f>
        <v>46721.023690000002</v>
      </c>
      <c r="I129" s="23">
        <f>18374.22087</f>
        <v>18374.220870000001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1520.856</f>
        <v>1520.856</v>
      </c>
      <c r="H130" s="23">
        <f>E130-G130</f>
        <v>12724.144</v>
      </c>
      <c r="I130" s="23">
        <f>2361.12975</f>
        <v>2361.1297500000001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0.071</f>
        <v>7.0999999999999994E-2</v>
      </c>
      <c r="G131" s="23">
        <f>61.79415</f>
        <v>61.794150000000002</v>
      </c>
      <c r="H131" s="55">
        <f>E131-G131</f>
        <v>438.20585</v>
      </c>
      <c r="I131" s="23">
        <f>107.80725</f>
        <v>107.80725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</f>
        <v>0</v>
      </c>
      <c r="G132" s="95">
        <f>18.09185+427.46563</f>
        <v>445.55748</v>
      </c>
      <c r="H132" s="95">
        <f>E132-G132</f>
        <v>52050.442519999997</v>
      </c>
      <c r="I132" s="95">
        <f>11.38495</f>
        <v>11.38495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3508.4035700000004</v>
      </c>
      <c r="G133" s="94">
        <f t="shared" ref="G133" si="14">G134+G139+G142</f>
        <v>26364.039949999995</v>
      </c>
      <c r="H133" s="94">
        <f>H134+H139+H142</f>
        <v>53800.960049999994</v>
      </c>
      <c r="I133" s="94">
        <f>I134+I139+I142</f>
        <v>24299.044679999999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2572.8128800000004</v>
      </c>
      <c r="G134" s="125">
        <f>G135+G136+G138+G137</f>
        <v>21046.677229999998</v>
      </c>
      <c r="H134" s="125">
        <f>H135+H136+H137+H138</f>
        <v>38032.322769999999</v>
      </c>
      <c r="I134" s="125">
        <f>I135+I136+I137+I138</f>
        <v>21547.800779999998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338.43261</f>
        <v>338.43261000000001</v>
      </c>
      <c r="G135" s="127">
        <v>4174.0759500000004</v>
      </c>
      <c r="H135" s="127">
        <f>E135-G135</f>
        <v>13599.92405</v>
      </c>
      <c r="I135" s="127">
        <f>3559.20061</f>
        <v>3559.2006099999999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628.75243</f>
        <v>628.75243</v>
      </c>
      <c r="G136" s="127">
        <v>7388.6627199999994</v>
      </c>
      <c r="H136" s="127">
        <f>E136-G136</f>
        <v>7550.3372800000006</v>
      </c>
      <c r="I136" s="127">
        <f>6750.04646</f>
        <v>6750.0464599999996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1017.38975</f>
        <v>1017.38975</v>
      </c>
      <c r="G137" s="127">
        <v>5151.4260299999996</v>
      </c>
      <c r="H137" s="127">
        <f>E137-G137</f>
        <v>7899.5739700000004</v>
      </c>
      <c r="I137" s="127">
        <f>5173.7881</f>
        <v>5173.7880999999998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588.23809</f>
        <v>588.23809000000006</v>
      </c>
      <c r="G138" s="127">
        <v>4332.51253</v>
      </c>
      <c r="H138" s="127">
        <f>E138-G138</f>
        <v>8982.48747</v>
      </c>
      <c r="I138" s="127">
        <f>6064.76561</f>
        <v>6064.7656100000004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748.8761300000001</v>
      </c>
      <c r="G139" s="132">
        <f>SUM(G140:G141)</f>
        <v>3744.2219599999999</v>
      </c>
      <c r="H139" s="132">
        <f>H140+H141</f>
        <v>5185.7780400000001</v>
      </c>
      <c r="I139" s="132">
        <f>SUM(I140:I141)</f>
        <v>1510.3762400000001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736.58693</f>
        <v>736.58693000000005</v>
      </c>
      <c r="G140" s="127">
        <f>3656.44649</f>
        <v>3656.4464899999998</v>
      </c>
      <c r="H140" s="127">
        <f t="shared" ref="H140:H148" si="15">E140-G140</f>
        <v>4773.5535099999997</v>
      </c>
      <c r="I140" s="127">
        <f>1465.27475</f>
        <v>1465.27475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12.2892</f>
        <v>12.289199999999999</v>
      </c>
      <c r="G141" s="127">
        <f>87.77547</f>
        <v>87.775469999999999</v>
      </c>
      <c r="H141" s="127">
        <f t="shared" si="15"/>
        <v>412.22453000000002</v>
      </c>
      <c r="I141" s="127">
        <f>45.10149</f>
        <v>45.101489999999998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186.71456</f>
        <v>186.71456000000001</v>
      </c>
      <c r="G142" s="75">
        <f>1573.14076</f>
        <v>1573.14076</v>
      </c>
      <c r="H142" s="75">
        <f t="shared" si="15"/>
        <v>10582.85924</v>
      </c>
      <c r="I142" s="75">
        <f>1240.86766</f>
        <v>1240.8676599999999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8.82285</f>
        <v>8.8228500000000007</v>
      </c>
      <c r="G143" s="139">
        <f>10.86658</f>
        <v>10.866580000000001</v>
      </c>
      <c r="H143" s="139">
        <f t="shared" si="15"/>
        <v>135.13342</v>
      </c>
      <c r="I143" s="139">
        <f>2.3332</f>
        <v>2.3332000000000002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12.09263</f>
        <v>12.09263</v>
      </c>
      <c r="G145" s="139">
        <v>2000</v>
      </c>
      <c r="H145" s="139">
        <f t="shared" si="15"/>
        <v>0</v>
      </c>
      <c r="I145" s="139"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0.0709</f>
        <v>7.0900000000000005E-2</v>
      </c>
      <c r="G147" s="98">
        <f>12.7461</f>
        <v>12.7461</v>
      </c>
      <c r="H147" s="139">
        <f t="shared" si="15"/>
        <v>263.25389999999999</v>
      </c>
      <c r="I147" s="98">
        <f>15.754</f>
        <v>15.754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0.264</f>
        <v>0.26400000000000001</v>
      </c>
      <c r="G148" s="139">
        <f>35.1765</f>
        <v>35.176499999999997</v>
      </c>
      <c r="H148" s="139">
        <f t="shared" si="15"/>
        <v>-35.176499999999997</v>
      </c>
      <c r="I148" s="139">
        <f>59.279</f>
        <v>59.279000000000003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4378.8654200000001</v>
      </c>
      <c r="G150" s="76">
        <f>G128+G132+G133+G143+G144+G145+G146+G147+G148</f>
        <v>41292.013069999994</v>
      </c>
      <c r="H150" s="76">
        <f>H128+H132+H133+H143+H144+H145+H146+H147+H148</f>
        <v>166347.98692999998</v>
      </c>
      <c r="I150" s="76">
        <f>I128+I132+I133+I143+I144+I145+I146+I147+I148</f>
        <v>47230.953700000005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152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151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12735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v>11325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940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v>25000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145</v>
      </c>
      <c r="F174" s="15" t="s">
        <v>146</v>
      </c>
      <c r="G174" s="54" t="s">
        <v>147</v>
      </c>
      <c r="H174" s="15" t="s">
        <v>148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4988</v>
      </c>
      <c r="E175" s="275">
        <f>5.50679</f>
        <v>5.5067899999999996</v>
      </c>
      <c r="F175" s="275">
        <f>225.55459</f>
        <v>225.55458999999999</v>
      </c>
      <c r="G175" s="43">
        <f>D175-F175-F176</f>
        <v>4665.91903</v>
      </c>
      <c r="H175" s="275">
        <f>270.43668</f>
        <v>270.43668000000002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23.46849</f>
        <v>23.468489999999999</v>
      </c>
      <c r="F176" s="152">
        <f>96.52638</f>
        <v>96.526380000000003</v>
      </c>
      <c r="G176" s="215"/>
      <c r="H176" s="152">
        <f>122.56177</f>
        <v>122.56177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0.56428</f>
        <v>0.56428</v>
      </c>
      <c r="G177" s="172">
        <f>D177-F177</f>
        <v>199.43572</v>
      </c>
      <c r="H177" s="172">
        <f>18.29706</f>
        <v>18.297059999999998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7481</v>
      </c>
      <c r="E178" s="181">
        <f>E179+E180+E181</f>
        <v>3.1393800000000001</v>
      </c>
      <c r="F178" s="181">
        <f>F179+F180+F181</f>
        <v>11.892240000000001</v>
      </c>
      <c r="G178" s="181">
        <f>D178-F178</f>
        <v>7469.1077599999999</v>
      </c>
      <c r="H178" s="181">
        <f>H179+H180+H181</f>
        <v>2.9849999999999999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0.2329</f>
        <v>0.2329</v>
      </c>
      <c r="F179" s="127">
        <f>1.95254</f>
        <v>1.9525399999999999</v>
      </c>
      <c r="G179" s="127"/>
      <c r="H179" s="127">
        <f>0.53228</f>
        <v>0.53227999999999998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1.92908</f>
        <v>1.9290799999999999</v>
      </c>
      <c r="F180" s="127">
        <f>4.99246</f>
        <v>4.9924600000000003</v>
      </c>
      <c r="G180" s="127"/>
      <c r="H180" s="127">
        <f>1.82676</f>
        <v>1.8267599999999999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0.9774</f>
        <v>0.97740000000000005</v>
      </c>
      <c r="F181" s="192">
        <f>4.94724</f>
        <v>4.9472399999999999</v>
      </c>
      <c r="G181" s="192"/>
      <c r="H181" s="192">
        <f>0.62596</f>
        <v>0.62595999999999996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12735</v>
      </c>
      <c r="E184" s="194">
        <f>E175+E176+E177+E178+E182+E183</f>
        <v>32.114660000000001</v>
      </c>
      <c r="F184" s="194">
        <f>F175+F176+F177+F178+F182+F183</f>
        <v>334.53748999999999</v>
      </c>
      <c r="G184" s="194">
        <f>D184-F184</f>
        <v>12400.462509999999</v>
      </c>
      <c r="H184" s="194">
        <f>H175+H176+H177+H178+H182+H183</f>
        <v>414.28051000000005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3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3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145</v>
      </c>
      <c r="F203" s="68" t="s">
        <v>146</v>
      </c>
      <c r="G203" s="68" t="s">
        <v>147</v>
      </c>
      <c r="H203" s="68" t="s">
        <v>148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1687.94901</f>
        <v>1687.94901</v>
      </c>
      <c r="F204" s="124">
        <f>12118.19154</f>
        <v>12118.19154</v>
      </c>
      <c r="G204" s="124">
        <f>D204-F204</f>
        <v>34163.80846</v>
      </c>
      <c r="H204" s="124">
        <f>5697.99176</f>
        <v>5697.9917599999999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0.18865</f>
        <v>0.18865000000000001</v>
      </c>
      <c r="F205" s="124">
        <f>0.88087</f>
        <v>0.88087000000000004</v>
      </c>
      <c r="G205" s="124">
        <f>D205-F205</f>
        <v>99.119129999999998</v>
      </c>
      <c r="H205" s="124">
        <f>0.468</f>
        <v>0.46800000000000003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1688.1376600000001</v>
      </c>
      <c r="F207" s="190">
        <f>SUM(F204:F206)</f>
        <v>12119.072410000001</v>
      </c>
      <c r="G207" s="190">
        <f>D207-F207</f>
        <v>34298.927589999999</v>
      </c>
      <c r="H207" s="190">
        <f>SUM(H204:H206)</f>
        <v>5698.4597599999997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3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3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145</v>
      </c>
      <c r="F248" s="68" t="s">
        <v>146</v>
      </c>
      <c r="G248" s="68" t="s">
        <v>147</v>
      </c>
      <c r="H248" s="68" t="s">
        <v>148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113.62324</v>
      </c>
      <c r="F249" s="75">
        <f>F250+F251</f>
        <v>655.24329999999998</v>
      </c>
      <c r="G249" s="75">
        <f>D249-F249</f>
        <v>3331.7566999999999</v>
      </c>
      <c r="H249" s="75">
        <f>H250+H251</f>
        <v>346.03791000000001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95.60516</f>
        <v>95.605159999999998</v>
      </c>
      <c r="F250" s="75">
        <f>496.96278</f>
        <v>496.96278000000001</v>
      </c>
      <c r="G250" s="75"/>
      <c r="H250" s="75">
        <f>189.30745</f>
        <v>189.30744999999999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18.01808</f>
        <v>18.018080000000001</v>
      </c>
      <c r="F251" s="124">
        <f>158.28052</f>
        <v>158.28052</v>
      </c>
      <c r="G251" s="168"/>
      <c r="H251" s="124">
        <f>156.73046</f>
        <v>156.73045999999999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91.38616</f>
        <v>91.386160000000004</v>
      </c>
      <c r="F252" s="75">
        <f>870.43783</f>
        <v>870.43782999999996</v>
      </c>
      <c r="G252" s="75">
        <f>D252-F252</f>
        <v>3742.5621700000002</v>
      </c>
      <c r="H252" s="75">
        <f>789.65642</f>
        <v>789.65642000000003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318.63263999999998</v>
      </c>
      <c r="F253" s="190">
        <f>SUM(F249:F252)</f>
        <v>2180.92443</v>
      </c>
      <c r="G253" s="190">
        <f>D253-F253</f>
        <v>6419.07557</v>
      </c>
      <c r="H253" s="190">
        <f>SUM(H249:H252)</f>
        <v>1481.73224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4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3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3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145</v>
      </c>
      <c r="F294" s="68" t="s">
        <v>146</v>
      </c>
      <c r="G294" s="68" t="s">
        <v>147</v>
      </c>
      <c r="H294" s="68" t="s">
        <v>148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96.047879999999992</v>
      </c>
      <c r="F295" s="75">
        <f>F296+F297</f>
        <v>503.56263999999999</v>
      </c>
      <c r="G295" s="75">
        <f>D295-F295</f>
        <v>4586.4373599999999</v>
      </c>
      <c r="H295" s="75">
        <f>H296+H297</f>
        <v>228.96553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83.07526</f>
        <v>83.07526</v>
      </c>
      <c r="F296" s="75">
        <f>414.15675</f>
        <v>414.15674999999999</v>
      </c>
      <c r="G296" s="75"/>
      <c r="H296" s="75">
        <f>131.09711</f>
        <v>131.09710999999999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12.97262</f>
        <v>12.972619999999999</v>
      </c>
      <c r="F297" s="124">
        <f>89.40589</f>
        <v>89.405889999999999</v>
      </c>
      <c r="G297" s="168"/>
      <c r="H297" s="124">
        <f>97.86842</f>
        <v>97.86842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49.33228</f>
        <v>49.332279999999997</v>
      </c>
      <c r="F298" s="75">
        <f>609.27428</f>
        <v>609.27427999999998</v>
      </c>
      <c r="G298" s="75">
        <f>D298-F298</f>
        <v>2371.7257199999999</v>
      </c>
      <c r="H298" s="75">
        <f>579.1338</f>
        <v>579.13379999999995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241.42803999999998</v>
      </c>
      <c r="F299" s="190">
        <f>SUM(F295:F298)</f>
        <v>1616.3995599999998</v>
      </c>
      <c r="G299" s="190">
        <f>D299-F299</f>
        <v>6454.6004400000002</v>
      </c>
      <c r="H299" s="190">
        <f>SUM(H295:H298)</f>
        <v>1037.06486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4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145</v>
      </c>
      <c r="F349" s="68" t="s">
        <v>146</v>
      </c>
      <c r="G349" s="68" t="s">
        <v>147</v>
      </c>
      <c r="H349" s="68" t="s">
        <v>148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11.78662</f>
        <v>11.786619999999999</v>
      </c>
      <c r="F350" s="124">
        <f>83.64496</f>
        <v>83.644959999999998</v>
      </c>
      <c r="G350" s="124">
        <f>D350-F350</f>
        <v>716.35504000000003</v>
      </c>
      <c r="H350" s="124">
        <f>64.03865</f>
        <v>64.038650000000004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11.30072</f>
        <v>11.30072</v>
      </c>
      <c r="F351" s="124">
        <f>279.23715</f>
        <v>279.23714999999999</v>
      </c>
      <c r="G351" s="124">
        <f>D351-F351</f>
        <v>2761.7628500000001</v>
      </c>
      <c r="H351" s="124">
        <f>324.05054</f>
        <v>324.05054000000001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</f>
        <v>0</v>
      </c>
      <c r="G353" s="124">
        <f>D353-F353</f>
        <v>0</v>
      </c>
      <c r="H353" s="168">
        <f>0.135</f>
        <v>0.13500000000000001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23.087339999999998</v>
      </c>
      <c r="F354" s="190">
        <f>SUM(F350:F353)</f>
        <v>363.49216999999999</v>
      </c>
      <c r="G354" s="190">
        <f>D354-F354</f>
        <v>3487.50783</v>
      </c>
      <c r="H354" s="190">
        <f>H350+H351+H352+H353</f>
        <v>388.31423000000001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3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145</v>
      </c>
      <c r="G379" s="222" t="s">
        <v>146</v>
      </c>
      <c r="H379" s="222" t="s">
        <v>147</v>
      </c>
      <c r="I379" s="222" t="s">
        <v>148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774.58766000000003</v>
      </c>
      <c r="G380" s="252">
        <f t="shared" si="17"/>
        <v>2536.8118799999997</v>
      </c>
      <c r="H380" s="252">
        <f>H384+H383+H382+H381</f>
        <v>20432.188119999999</v>
      </c>
      <c r="I380" s="252">
        <f t="shared" si="17"/>
        <v>1850.6449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698.94912</f>
        <v>698.94911999999999</v>
      </c>
      <c r="G381" s="256">
        <f>2076.92161</f>
        <v>2076.9216099999999</v>
      </c>
      <c r="H381" s="256">
        <f t="shared" ref="H381:H385" si="18">E381-G381</f>
        <v>11113.078390000001</v>
      </c>
      <c r="I381" s="256">
        <f>1251.81104</f>
        <v>1251.81104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38.2725</f>
        <v>38.272500000000001</v>
      </c>
      <c r="H382" s="256">
        <f t="shared" si="18"/>
        <v>3394.7275</v>
      </c>
      <c r="I382" s="256">
        <f>297</f>
        <v>297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73.73654</f>
        <v>73.736540000000005</v>
      </c>
      <c r="G383" s="256">
        <f>405.72997</f>
        <v>405.72996999999998</v>
      </c>
      <c r="H383" s="256">
        <f t="shared" si="18"/>
        <v>1077.2700300000001</v>
      </c>
      <c r="I383" s="256">
        <f>282.54006</f>
        <v>282.54005999999998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1.902</f>
        <v>1.9019999999999999</v>
      </c>
      <c r="G384" s="256">
        <f>15.8878</f>
        <v>15.8878</v>
      </c>
      <c r="H384" s="256">
        <f t="shared" si="18"/>
        <v>4847.1121999999996</v>
      </c>
      <c r="I384" s="256">
        <f>19.2938</f>
        <v>19.293800000000001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0.971</f>
        <v>0.97099999999999997</v>
      </c>
      <c r="H385" s="267">
        <f t="shared" si="18"/>
        <v>5499.0290000000005</v>
      </c>
      <c r="I385" s="267">
        <f>18.501</f>
        <v>18.501000000000001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194.47410000000002</v>
      </c>
      <c r="G386" s="268">
        <f>G388+G387</f>
        <v>1074.7422099999999</v>
      </c>
      <c r="H386" s="268">
        <f>E386-G386</f>
        <v>6925.2577899999997</v>
      </c>
      <c r="I386" s="268">
        <f>I388+I387</f>
        <v>1312.67318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149.33089</f>
        <v>149.33089000000001</v>
      </c>
      <c r="G387" s="256">
        <f>517.07376</f>
        <v>517.07375999999999</v>
      </c>
      <c r="H387" s="256"/>
      <c r="I387" s="256">
        <f>742.5736</f>
        <v>742.57360000000006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45.14321</f>
        <v>45.143210000000003</v>
      </c>
      <c r="G388" s="277">
        <f>557.66845</f>
        <v>557.66845000000001</v>
      </c>
      <c r="H388" s="277"/>
      <c r="I388" s="277">
        <f>570.09958</f>
        <v>570.09957999999995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0.0567</f>
        <v>5.67E-2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0.045</f>
        <v>4.4999999999999998E-2</v>
      </c>
      <c r="G390" s="267">
        <f>2.77364</f>
        <v>2.7736399999999999</v>
      </c>
      <c r="H390" s="267">
        <f>E390-G390</f>
        <v>-2.7736399999999999</v>
      </c>
      <c r="I390" s="267">
        <f>1.1632</f>
        <v>1.1632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969.10676000000001</v>
      </c>
      <c r="G391" s="286">
        <f t="shared" si="19"/>
        <v>3615.3251299999997</v>
      </c>
      <c r="H391" s="286">
        <f>H380+H385+H386+H389+H390</f>
        <v>32866.674870000003</v>
      </c>
      <c r="I391" s="286">
        <f t="shared" si="19"/>
        <v>3183.0389800000003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16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121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145</v>
      </c>
      <c r="F412" s="20" t="s">
        <v>146</v>
      </c>
      <c r="G412" s="25" t="s">
        <v>147</v>
      </c>
      <c r="H412" s="20" t="s">
        <v>148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78.665679999999995</v>
      </c>
      <c r="F416" s="26">
        <f>SUM(F417:F418)</f>
        <v>1219.3900599999999</v>
      </c>
      <c r="G416" s="85">
        <f>D416-F416</f>
        <v>-159.39005999999995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68.53071</f>
        <v>68.530709999999999</v>
      </c>
      <c r="F417" s="30">
        <f>981.98729</f>
        <v>981.98729000000003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10.13497</f>
        <v>10.134969999999999</v>
      </c>
      <c r="F418" s="30">
        <f>237.40277</f>
        <v>237.40277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10.526</v>
      </c>
      <c r="F419" s="36">
        <f>SUM(F420:F421)</f>
        <v>10.526</v>
      </c>
      <c r="G419" s="85">
        <f>D419-F419</f>
        <v>1224.4739999999999</v>
      </c>
      <c r="H419" s="36">
        <f>SUM(H420:H421)</f>
        <v>105.23289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8.9215</f>
        <v>8.9215</v>
      </c>
      <c r="F420" s="30">
        <f>8.9215</f>
        <v>8.9215</v>
      </c>
      <c r="G420" s="97"/>
      <c r="H420" s="30">
        <f>82.44419</f>
        <v>82.444190000000006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1.6045</f>
        <v>1.6045</v>
      </c>
      <c r="F421" s="30">
        <f>1.6045</f>
        <v>1.6045</v>
      </c>
      <c r="G421" s="108"/>
      <c r="H421" s="30">
        <f>22.7887</f>
        <v>22.788699999999999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89.191679999999991</v>
      </c>
      <c r="F423" s="40">
        <f>F413+F416+F419+F422</f>
        <v>2218.31729</v>
      </c>
      <c r="G423" s="41"/>
      <c r="H423" s="40">
        <f>H413+H416+H419+H422</f>
        <v>3837.0660500000004</v>
      </c>
      <c r="I423" s="27"/>
      <c r="J423" s="130"/>
    </row>
    <row r="424" spans="1:10" ht="42" customHeight="1" x14ac:dyDescent="0.25">
      <c r="A424" s="217"/>
      <c r="B424" s="72"/>
      <c r="C424" s="292" t="s">
        <v>122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3"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9&amp;R04.03.2024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2024-03-04T12:46:56Z</dcterms:modified>
</cp:coreProperties>
</file>