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9EFD5579-7F14-4AB5-88C3-02A837611F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G124" i="1"/>
  <c r="H124" i="1" s="1"/>
  <c r="G123" i="1"/>
  <c r="H123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H300" i="1" s="1"/>
  <c r="F301" i="1"/>
  <c r="F300" i="1" s="1"/>
  <c r="G300" i="1" s="1"/>
  <c r="E301" i="1"/>
  <c r="E300" i="1" s="1"/>
  <c r="H299" i="1"/>
  <c r="F299" i="1"/>
  <c r="E299" i="1"/>
  <c r="E297" i="1" s="1"/>
  <c r="H298" i="1"/>
  <c r="H297" i="1" s="1"/>
  <c r="F298" i="1"/>
  <c r="F297" i="1" s="1"/>
  <c r="G297" i="1" s="1"/>
  <c r="E298" i="1"/>
  <c r="H296" i="1"/>
  <c r="F296" i="1"/>
  <c r="E296" i="1"/>
  <c r="H295" i="1"/>
  <c r="H294" i="1" s="1"/>
  <c r="F295" i="1"/>
  <c r="E295" i="1"/>
  <c r="F294" i="1"/>
  <c r="E294" i="1"/>
  <c r="E304" i="1" s="1"/>
  <c r="I272" i="1"/>
  <c r="H272" i="1"/>
  <c r="G272" i="1"/>
  <c r="F272" i="1"/>
  <c r="I271" i="1"/>
  <c r="H271" i="1"/>
  <c r="G271" i="1"/>
  <c r="F271" i="1"/>
  <c r="I270" i="1"/>
  <c r="I268" i="1" s="1"/>
  <c r="G270" i="1"/>
  <c r="F270" i="1"/>
  <c r="I269" i="1"/>
  <c r="G269" i="1"/>
  <c r="F269" i="1"/>
  <c r="G268" i="1"/>
  <c r="H268" i="1" s="1"/>
  <c r="F268" i="1"/>
  <c r="I267" i="1"/>
  <c r="H267" i="1"/>
  <c r="G267" i="1"/>
  <c r="F267" i="1"/>
  <c r="I266" i="1"/>
  <c r="G266" i="1"/>
  <c r="H266" i="1" s="1"/>
  <c r="H262" i="1" s="1"/>
  <c r="F266" i="1"/>
  <c r="I265" i="1"/>
  <c r="I262" i="1" s="1"/>
  <c r="H265" i="1"/>
  <c r="G265" i="1"/>
  <c r="F265" i="1"/>
  <c r="I264" i="1"/>
  <c r="G264" i="1"/>
  <c r="H264" i="1" s="1"/>
  <c r="F264" i="1"/>
  <c r="I263" i="1"/>
  <c r="H263" i="1"/>
  <c r="G263" i="1"/>
  <c r="F263" i="1"/>
  <c r="G262" i="1"/>
  <c r="G273" i="1" s="1"/>
  <c r="F262" i="1"/>
  <c r="F273" i="1" s="1"/>
  <c r="E262" i="1"/>
  <c r="E273" i="1" s="1"/>
  <c r="D262" i="1"/>
  <c r="D273" i="1" s="1"/>
  <c r="H254" i="1"/>
  <c r="F254" i="1"/>
  <c r="D251" i="1"/>
  <c r="D250" i="1"/>
  <c r="H241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E241" i="1" s="1"/>
  <c r="H237" i="1"/>
  <c r="F237" i="1"/>
  <c r="F241" i="1" s="1"/>
  <c r="G241" i="1" s="1"/>
  <c r="E237" i="1"/>
  <c r="D230" i="1"/>
  <c r="D219" i="1"/>
  <c r="H218" i="1"/>
  <c r="F218" i="1"/>
  <c r="G218" i="1" s="1"/>
  <c r="E218" i="1"/>
  <c r="H217" i="1"/>
  <c r="H215" i="1" s="1"/>
  <c r="H219" i="1" s="1"/>
  <c r="F217" i="1"/>
  <c r="E217" i="1"/>
  <c r="H216" i="1"/>
  <c r="F216" i="1"/>
  <c r="F215" i="1" s="1"/>
  <c r="E216" i="1"/>
  <c r="E215" i="1"/>
  <c r="E219" i="1" s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H206" i="1" s="1"/>
  <c r="I192" i="1"/>
  <c r="F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F163" i="1" s="1"/>
  <c r="E165" i="1"/>
  <c r="H164" i="1"/>
  <c r="F164" i="1"/>
  <c r="E164" i="1"/>
  <c r="E163" i="1" s="1"/>
  <c r="H163" i="1"/>
  <c r="H162" i="1"/>
  <c r="G162" i="1"/>
  <c r="F162" i="1"/>
  <c r="E162" i="1"/>
  <c r="H161" i="1"/>
  <c r="F161" i="1"/>
  <c r="E161" i="1"/>
  <c r="H160" i="1"/>
  <c r="H169" i="1" s="1"/>
  <c r="G160" i="1"/>
  <c r="F160" i="1"/>
  <c r="E160" i="1"/>
  <c r="D137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F127" i="1"/>
  <c r="F126" i="1" s="1"/>
  <c r="E126" i="1"/>
  <c r="D126" i="1"/>
  <c r="I125" i="1"/>
  <c r="H125" i="1"/>
  <c r="F125" i="1"/>
  <c r="I124" i="1"/>
  <c r="F124" i="1"/>
  <c r="I123" i="1"/>
  <c r="I121" i="1" s="1"/>
  <c r="I120" i="1" s="1"/>
  <c r="F123" i="1"/>
  <c r="I122" i="1"/>
  <c r="G122" i="1"/>
  <c r="H122" i="1" s="1"/>
  <c r="F122" i="1"/>
  <c r="F121" i="1"/>
  <c r="F120" i="1" s="1"/>
  <c r="E121" i="1"/>
  <c r="E120" i="1" s="1"/>
  <c r="D121" i="1"/>
  <c r="D120" i="1"/>
  <c r="I119" i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G116" i="1"/>
  <c r="F116" i="1"/>
  <c r="F115" i="1" s="1"/>
  <c r="F137" i="1" s="1"/>
  <c r="G115" i="1"/>
  <c r="E115" i="1"/>
  <c r="E137" i="1" s="1"/>
  <c r="D115" i="1"/>
  <c r="C113" i="1"/>
  <c r="D94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H84" i="1" s="1"/>
  <c r="H83" i="1" s="1"/>
  <c r="F84" i="1"/>
  <c r="F83" i="1" s="1"/>
  <c r="F82" i="1" s="1"/>
  <c r="I83" i="1"/>
  <c r="E83" i="1"/>
  <c r="D83" i="1"/>
  <c r="I82" i="1"/>
  <c r="E82" i="1"/>
  <c r="E94" i="1" s="1"/>
  <c r="D82" i="1"/>
  <c r="I81" i="1"/>
  <c r="G81" i="1"/>
  <c r="H81" i="1" s="1"/>
  <c r="H79" i="1" s="1"/>
  <c r="F81" i="1"/>
  <c r="F79" i="1" s="1"/>
  <c r="I80" i="1"/>
  <c r="I79" i="1" s="1"/>
  <c r="I94" i="1" s="1"/>
  <c r="G80" i="1"/>
  <c r="H80" i="1" s="1"/>
  <c r="F80" i="1"/>
  <c r="E79" i="1"/>
  <c r="D79" i="1"/>
  <c r="C76" i="1"/>
  <c r="H72" i="1"/>
  <c r="F72" i="1"/>
  <c r="D72" i="1"/>
  <c r="H58" i="1"/>
  <c r="H57" i="1"/>
  <c r="I52" i="1"/>
  <c r="G52" i="1"/>
  <c r="H52" i="1" s="1"/>
  <c r="F5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G34" i="1"/>
  <c r="G33" i="1" s="1"/>
  <c r="F34" i="1"/>
  <c r="F33" i="1"/>
  <c r="E33" i="1"/>
  <c r="D33" i="1"/>
  <c r="D25" i="1" s="1"/>
  <c r="I32" i="1"/>
  <c r="G32" i="1"/>
  <c r="H32" i="1" s="1"/>
  <c r="F32" i="1"/>
  <c r="I31" i="1"/>
  <c r="I26" i="1" s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D26" i="1"/>
  <c r="E25" i="1"/>
  <c r="I24" i="1"/>
  <c r="G24" i="1"/>
  <c r="H24" i="1" s="1"/>
  <c r="F24" i="1"/>
  <c r="I23" i="1"/>
  <c r="I22" i="1" s="1"/>
  <c r="G23" i="1"/>
  <c r="G22" i="1" s="1"/>
  <c r="F23" i="1"/>
  <c r="F22" i="1"/>
  <c r="E22" i="1"/>
  <c r="E42" i="1" s="1"/>
  <c r="D22" i="1"/>
  <c r="H16" i="1"/>
  <c r="F16" i="1"/>
  <c r="D16" i="1"/>
  <c r="I25" i="1" l="1"/>
  <c r="H34" i="1"/>
  <c r="F25" i="1"/>
  <c r="F42" i="1" s="1"/>
  <c r="F26" i="1"/>
  <c r="I273" i="1"/>
  <c r="H273" i="1"/>
  <c r="G202" i="1"/>
  <c r="F206" i="1"/>
  <c r="G206" i="1"/>
  <c r="G304" i="1"/>
  <c r="I42" i="1"/>
  <c r="H115" i="1"/>
  <c r="H304" i="1"/>
  <c r="H82" i="1"/>
  <c r="H94" i="1" s="1"/>
  <c r="H33" i="1"/>
  <c r="H26" i="1"/>
  <c r="I137" i="1"/>
  <c r="H121" i="1"/>
  <c r="H126" i="1"/>
  <c r="E169" i="1"/>
  <c r="F304" i="1"/>
  <c r="H22" i="1"/>
  <c r="D42" i="1"/>
  <c r="F94" i="1"/>
  <c r="G163" i="1"/>
  <c r="F169" i="1"/>
  <c r="G169" i="1" s="1"/>
  <c r="H192" i="1"/>
  <c r="G215" i="1"/>
  <c r="F219" i="1"/>
  <c r="G219" i="1" s="1"/>
  <c r="G126" i="1"/>
  <c r="G323" i="1"/>
  <c r="G324" i="1" s="1"/>
  <c r="G26" i="1"/>
  <c r="G25" i="1" s="1"/>
  <c r="G42" i="1" s="1"/>
  <c r="G83" i="1"/>
  <c r="G82" i="1" s="1"/>
  <c r="H23" i="1"/>
  <c r="G121" i="1"/>
  <c r="G237" i="1"/>
  <c r="H189" i="1"/>
  <c r="G79" i="1"/>
  <c r="G94" i="1" s="1"/>
  <c r="G294" i="1"/>
  <c r="G120" i="1" l="1"/>
  <c r="G137" i="1" s="1"/>
  <c r="H120" i="1"/>
  <c r="H137" i="1" s="1"/>
  <c r="H25" i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<sst xmlns="http://schemas.openxmlformats.org/spreadsheetml/2006/main" count="393" uniqueCount="167">
  <si>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</si>
  <si>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</si>
  <si>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</si>
  <si>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</si>
  <si>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</si>
  <si>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</si>
  <si>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</si>
  <si>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</si>
  <si>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</si>
  <si>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</si>
  <si>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</si>
  <si>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</si>
  <si>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</si>
  <si>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</si>
  <si>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</si>
  <si>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</si>
  <si>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</si>
  <si>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</si>
  <si>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</si>
  <si>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</si>
  <si>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</si>
  <si>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</si>
  <si>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</si>
  <si>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</si>
  <si>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</si>
  <si>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</si>
  <si>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</si>
  <si>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</si>
  <si>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</si>
  <si>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</si>
  <si>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</si>
  <si>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</si>
  <si>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</si>
  <si>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</si>
  <si>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</si>
  <si>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</si>
  <si>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</si>
  <si>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</si>
  <si>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</si>
  <si>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</si>
  <si>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</si>
  <si>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</si>
  <si>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</si>
  <si>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</si>
  <si>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</si>
  <si>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</si>
  <si>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</si>
  <si>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</si>
  <si>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</si>
  <si>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</si>
  <si>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</si>
  <si>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</si>
  <si>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</si>
  <si>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</si>
  <si>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</si>
  <si>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</si>
  <si>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</si>
  <si>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</si>
  <si>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</si>
  <si>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</si>
  <si>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</si>
  <si>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</si>
  <si>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</si>
  <si>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</si>
  <si>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</si>
  <si>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</si>
  <si>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</si>
  <si>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</si>
  <si>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</si>
  <si>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</si>
  <si>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</si>
  <si>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</si>
  <si>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</si>
  <si>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</si>
  <si>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</si>
  <si>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</si>
  <si>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</si>
  <si>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</si>
  <si>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</si>
  <si>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</si>
  <si>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</si>
  <si>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</si>
  <si>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</si>
  <si>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</si>
  <si>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</si>
  <si>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</si>
  <si>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</si>
  <si>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</si>
  <si>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</si>
  <si>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</si>
  <si>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</si>
  <si>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</si>
  <si>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</si>
  <si>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</si>
  <si>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</si>
  <si>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</si>
  <si>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</si>
  <si>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</si>
  <si>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</si>
  <si>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</si>
  <si>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</si>
  <si>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</si>
  <si>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</si>
  <si>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</si>
  <si>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</si>
  <si>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</si>
  <si>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</si>
  <si>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</si>
  <si>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</si>
  <si>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</si>
  <si>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</si>
  <si>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</si>
  <si>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</si>
  <si>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</si>
  <si>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</si>
  <si>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</si>
  <si>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</si>
  <si>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</si>
  <si>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</si>
  <si>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</si>
  <si>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</si>
  <si>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</si>
  <si>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</si>
  <si>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</si>
  <si>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</si>
  <si>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</si>
  <si>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</si>
  <si>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</si>
  <si>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</si>
  <si>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</si>
  <si>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</si>
  <si>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</si>
  <si>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</si>
  <si>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</si>
  <si>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</si>
  <si>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</si>
  <si>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</si>
  <si>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</si>
  <si>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</si>
  <si>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</si>
  <si>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</si>
  <si>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</si>
  <si>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</si>
  <si>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</si>
  <si>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</si>
  <si>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</si>
  <si>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</si>
  <si>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</si>
  <si>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</si>
  <si>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</si>
  <si>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</si>
  <si>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</si>
  <si>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</si>
  <si>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</si>
  <si>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</si>
  <si>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</si>
  <si>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</si>
  <si>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</si>
  <si>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</si>
  <si>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53 tonn, men det legges til grunn at hele avsetningen tas</t>
  </si>
  <si>
    <t>4 Registrert rekreasjonsfiske utgjør 403 tonn, men det legges til grunn at hele avsetningen tas</t>
  </si>
  <si>
    <t>3 Registrert rekreasjonsfiske utgjør 774 tonn, men det legges til grunn at hele avsetningen tas</t>
  </si>
  <si>
    <t>FANGST UKE 47</t>
  </si>
  <si>
    <t>FANGST T.O.M UKE 47</t>
  </si>
  <si>
    <t>RESTKVOTER UKE 47</t>
  </si>
  <si>
    <t>FANGST T.O.M UKE 47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</si>
  <si>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4 243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</si>
</sst>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49" zoomScale="112" zoomScaleNormal="55" zoomScaleSheetLayoutView="100" zoomScalePageLayoutView="85" workbookViewId="0">
      <selection activeCell="B235" sqref="B23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675.82527000000005</v>
      </c>
      <c r="G22" s="27">
        <f t="shared" si="0"/>
        <v>32717.790939999999</v>
      </c>
      <c r="H22" s="10">
        <f t="shared" si="0"/>
        <v>8869.2090599999992</v>
      </c>
      <c r="I22" s="10">
        <f t="shared" si="0"/>
        <v>49769.023309999997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40825</v>
      </c>
      <c r="F23" s="22">
        <f>675.82527</f>
        <v>675.82527000000005</v>
      </c>
      <c r="G23" s="22">
        <f>32256.68389</f>
        <v>32256.68389</v>
      </c>
      <c r="H23" s="22">
        <f>E23-G23</f>
        <v>8568.3161099999998</v>
      </c>
      <c r="I23" s="22">
        <f>49211.14109</f>
        <v>49211.141089999997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762</v>
      </c>
      <c r="F24" s="165">
        <f>0</f>
        <v>0</v>
      </c>
      <c r="G24" s="22">
        <f>461.10705</f>
        <v>461.10705000000002</v>
      </c>
      <c r="H24" s="22">
        <f>E24-G24</f>
        <v>300.89294999999998</v>
      </c>
      <c r="I24" s="22">
        <f>557.88222</f>
        <v>557.88221999999996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1133.87318</v>
      </c>
      <c r="G25" s="10">
        <f t="shared" si="1"/>
        <v>112856.13901999999</v>
      </c>
      <c r="H25" s="10">
        <f t="shared" si="1"/>
        <v>8875.8609800000031</v>
      </c>
      <c r="I25" s="10">
        <f t="shared" si="1"/>
        <v>131179.954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853.70829000000003</v>
      </c>
      <c r="G26" s="129">
        <f>G27+G28+G29+G30+G31</f>
        <v>89667.927139999985</v>
      </c>
      <c r="H26" s="129">
        <f t="shared" ref="H26:I26" si="2">H27+H28+H29+H30+H31</f>
        <v>5195.0728600000039</v>
      </c>
      <c r="I26" s="129">
        <f t="shared" si="2"/>
        <v>105357.45621999999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25143</v>
      </c>
      <c r="F27" s="209">
        <f>392.66014 - F53</f>
        <v>19.660140000000013</v>
      </c>
      <c r="G27" s="123">
        <f>24991.6076 - G53</f>
        <v>23087.607599999999</v>
      </c>
      <c r="H27" s="123">
        <f t="shared" ref="H27:H39" si="3">E27-G27</f>
        <v>2055.3924000000006</v>
      </c>
      <c r="I27" s="123">
        <f>27642.58546 - I53</f>
        <v>26174.585459999998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23988</v>
      </c>
      <c r="F28" s="123">
        <f>299.63729 - F54</f>
        <v>0.63729000000000724</v>
      </c>
      <c r="G28" s="123">
        <f>24929.48679 - G54</f>
        <v>22929.486789999999</v>
      </c>
      <c r="H28" s="123">
        <f t="shared" si="3"/>
        <v>1058.513210000001</v>
      </c>
      <c r="I28" s="123">
        <f>30180.96847 - I54</f>
        <v>28337.96847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21861</v>
      </c>
      <c r="F29" s="123">
        <f>123.87976 - F55</f>
        <v>27.879760000000005</v>
      </c>
      <c r="G29" s="123">
        <f>23261.11927 - G55</f>
        <v>21647.119269999999</v>
      </c>
      <c r="H29" s="123">
        <f t="shared" si="3"/>
        <v>213.88073000000077</v>
      </c>
      <c r="I29" s="123">
        <f>27321.35644 - I55</f>
        <v>25942.35644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15640</v>
      </c>
      <c r="F30" s="123">
        <f>37.5311 - F56</f>
        <v>11.531100000000002</v>
      </c>
      <c r="G30" s="123">
        <f>16485.71348 - G56</f>
        <v>15489.713479999999</v>
      </c>
      <c r="H30" s="123">
        <f t="shared" si="3"/>
        <v>150.28652000000147</v>
      </c>
      <c r="I30" s="123">
        <f>20212.54585 - I56</f>
        <v>19058.545849999999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794</v>
      </c>
      <c r="G31" s="123">
        <f>G52</f>
        <v>6514</v>
      </c>
      <c r="H31" s="123">
        <f>E31-G31</f>
        <v>1717</v>
      </c>
      <c r="I31" s="123">
        <f>I52</f>
        <v>5844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13691</v>
      </c>
      <c r="F32" s="129">
        <f>78.54864</f>
        <v>78.548640000000006</v>
      </c>
      <c r="G32" s="129">
        <f>10829.07143</f>
        <v>10829.07143</v>
      </c>
      <c r="H32" s="129">
        <f t="shared" si="3"/>
        <v>2861.92857</v>
      </c>
      <c r="I32" s="129">
        <f>13292.23082</f>
        <v>13292.230820000001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201.61625000000001</v>
      </c>
      <c r="G33" s="129">
        <f>G34+G35</f>
        <v>12359.140450000001</v>
      </c>
      <c r="H33" s="129">
        <f t="shared" si="3"/>
        <v>818.85954999999922</v>
      </c>
      <c r="I33" s="129">
        <f>I34+I35</f>
        <v>12530.266960000001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12218</v>
      </c>
      <c r="F34" s="123">
        <f>220.61625 - F57 - F58</f>
        <v>63.616250000000008</v>
      </c>
      <c r="G34" s="129">
        <f>14590.14045 - G57 - G58</f>
        <v>11176.140450000001</v>
      </c>
      <c r="H34" s="123">
        <f t="shared" si="3"/>
        <v>1041.8595499999992</v>
      </c>
      <c r="I34" s="123">
        <f>15437.26696 - I57 - I58</f>
        <v>11698.266960000001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138</v>
      </c>
      <c r="G35" s="67">
        <f>G57</f>
        <v>1183</v>
      </c>
      <c r="H35" s="67">
        <f t="shared" si="3"/>
        <v>-223</v>
      </c>
      <c r="I35" s="67">
        <f>I57</f>
        <v>832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13.52668</f>
        <v>13.526680000000001</v>
      </c>
      <c r="G37" s="95">
        <f>657.20117</f>
        <v>657.20117000000005</v>
      </c>
      <c r="H37" s="95">
        <f t="shared" si="3"/>
        <v>197.79882999999995</v>
      </c>
      <c r="I37" s="95">
        <f>512.56306</f>
        <v>512.56305999999995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19</v>
      </c>
      <c r="G38" s="95">
        <f>G58</f>
        <v>2231</v>
      </c>
      <c r="H38" s="95">
        <f t="shared" si="3"/>
        <v>769</v>
      </c>
      <c r="I38" s="95">
        <f>I58</f>
        <v>2907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2.42987</f>
        <v>2.4298700000000002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1.63981</f>
        <v>1.63981</v>
      </c>
      <c r="G40" s="95">
        <f>389.42647</f>
        <v>389.42646999999999</v>
      </c>
      <c r="H40" s="95">
        <f>E40-G40</f>
        <v>60.573530000000005</v>
      </c>
      <c r="I40" s="95">
        <f>353.54906</f>
        <v>353.54906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1.778</f>
        <v>1.778</v>
      </c>
      <c r="G41" s="136">
        <f>189.34637</f>
        <v>189.34637000000001</v>
      </c>
      <c r="H41" s="136">
        <f t="shared" ref="H41" si="4">E41-G41</f>
        <v>-189.34637000000001</v>
      </c>
      <c r="I41" s="136">
        <f>143.06576</f>
        <v>143.06576000000001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1848.0728099999999</v>
      </c>
      <c r="G42" s="73">
        <f t="shared" si="5"/>
        <v>156321.16037</v>
      </c>
      <c r="H42" s="73">
        <f t="shared" si="5"/>
        <v>19302.839630000006</v>
      </c>
      <c r="I42" s="73">
        <f t="shared" si="5"/>
        <v>192213.51638999998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794</v>
      </c>
      <c r="G52" s="10">
        <f>G56+G55+G54+G53</f>
        <v>6514</v>
      </c>
      <c r="H52" s="329">
        <f>E52-G52</f>
        <v>1717</v>
      </c>
      <c r="I52" s="10">
        <f>I56+I55+I54+I53</f>
        <v>5844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373</v>
      </c>
      <c r="G53" s="123">
        <v>1904</v>
      </c>
      <c r="H53" s="330"/>
      <c r="I53" s="123">
        <v>1468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299</v>
      </c>
      <c r="G54" s="123">
        <v>2000</v>
      </c>
      <c r="H54" s="330"/>
      <c r="I54" s="123">
        <v>1843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96</v>
      </c>
      <c r="G55" s="123">
        <v>1614</v>
      </c>
      <c r="H55" s="330"/>
      <c r="I55" s="123">
        <v>1379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26</v>
      </c>
      <c r="G56" s="186">
        <v>996</v>
      </c>
      <c r="H56" s="331"/>
      <c r="I56" s="186">
        <v>1154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138</v>
      </c>
      <c r="G57" s="92">
        <v>1183</v>
      </c>
      <c r="H57" s="92">
        <f>E57-G57</f>
        <v>-223</v>
      </c>
      <c r="I57" s="92">
        <v>832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19</v>
      </c>
      <c r="G58" s="136">
        <v>2231</v>
      </c>
      <c r="H58" s="136">
        <f>E58-G58</f>
        <v>769</v>
      </c>
      <c r="I58" s="136">
        <v>2907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371.32037000000003</v>
      </c>
      <c r="G79" s="10">
        <f t="shared" si="6"/>
        <v>22994.854520000001</v>
      </c>
      <c r="H79" s="10">
        <f t="shared" si="6"/>
        <v>3127.145480000001</v>
      </c>
      <c r="I79" s="10">
        <f t="shared" si="6"/>
        <v>24843.469089999999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25297</v>
      </c>
      <c r="F80" s="22">
        <f>371.32037</f>
        <v>371.32037000000003</v>
      </c>
      <c r="G80" s="22">
        <f>22437.68826</f>
        <v>22437.688259999999</v>
      </c>
      <c r="H80" s="22">
        <f>E80-G80</f>
        <v>2859.311740000001</v>
      </c>
      <c r="I80" s="22">
        <f>24041.49974</f>
        <v>24041.499739999999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557.16626</f>
        <v>557.16625999999997</v>
      </c>
      <c r="H81" s="48">
        <f>E81-G81</f>
        <v>267.83374000000003</v>
      </c>
      <c r="I81" s="48">
        <f>801.96935</f>
        <v>801.96934999999996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436.96295000000003</v>
      </c>
      <c r="G82" s="10">
        <f t="shared" si="7"/>
        <v>37160.511890000002</v>
      </c>
      <c r="H82" s="10">
        <f t="shared" si="7"/>
        <v>6949.4881100000002</v>
      </c>
      <c r="I82" s="10">
        <f t="shared" si="7"/>
        <v>42833.110130000008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275.06219000000004</v>
      </c>
      <c r="G83" s="129">
        <f t="shared" si="8"/>
        <v>29156.392820000001</v>
      </c>
      <c r="H83" s="129">
        <f t="shared" si="8"/>
        <v>3329.60718</v>
      </c>
      <c r="I83" s="129">
        <f t="shared" si="8"/>
        <v>33825.341550000005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161.36733</f>
        <v>161.36733000000001</v>
      </c>
      <c r="G84" s="123">
        <f>4664.99641</f>
        <v>4664.9964099999997</v>
      </c>
      <c r="H84" s="123">
        <f t="shared" ref="H84:H91" si="9">E84-G84</f>
        <v>4339.0035900000003</v>
      </c>
      <c r="I84" s="123">
        <f>5961.40389</f>
        <v>5961.4038899999996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9068</v>
      </c>
      <c r="F85" s="123">
        <f>64.14279</f>
        <v>64.142790000000005</v>
      </c>
      <c r="G85" s="123">
        <f>7705.25033</f>
        <v>7705.2503299999998</v>
      </c>
      <c r="H85" s="123">
        <f t="shared" si="9"/>
        <v>1362.7496700000002</v>
      </c>
      <c r="I85" s="123">
        <f>10695.39873</f>
        <v>10695.398730000001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8642</v>
      </c>
      <c r="F86" s="123">
        <f>35.04557</f>
        <v>35.045569999999998</v>
      </c>
      <c r="G86" s="123">
        <f>8609.18144</f>
        <v>8609.1814400000003</v>
      </c>
      <c r="H86" s="123">
        <f t="shared" si="9"/>
        <v>32.818559999999707</v>
      </c>
      <c r="I86" s="123">
        <f>10106.9283</f>
        <v>10106.9283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5772</v>
      </c>
      <c r="F87" s="123">
        <f>14.5065</f>
        <v>14.506500000000001</v>
      </c>
      <c r="G87" s="123">
        <f>8176.96464</f>
        <v>8176.9646400000001</v>
      </c>
      <c r="H87" s="123">
        <f t="shared" si="9"/>
        <v>-2404.9646400000001</v>
      </c>
      <c r="I87" s="123">
        <f>7061.61063</f>
        <v>7061.6106300000001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93.21994</f>
        <v>93.219939999999994</v>
      </c>
      <c r="G88" s="129">
        <f>5533.15186</f>
        <v>5533.1518599999999</v>
      </c>
      <c r="H88" s="129">
        <f t="shared" si="9"/>
        <v>2583.8481400000001</v>
      </c>
      <c r="I88" s="129">
        <f>6232.00211</f>
        <v>6232.0021100000004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68.68082</f>
        <v>68.680819999999997</v>
      </c>
      <c r="G89" s="72">
        <f>2470.96721</f>
        <v>2470.9672099999998</v>
      </c>
      <c r="H89" s="72">
        <f t="shared" si="9"/>
        <v>1036.0327900000002</v>
      </c>
      <c r="I89" s="72">
        <f>2775.76647</f>
        <v>2775.76647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0.2964</f>
        <v>0.2964</v>
      </c>
      <c r="G90" s="95">
        <f>38.3661</f>
        <v>38.366100000000003</v>
      </c>
      <c r="H90" s="95">
        <f t="shared" si="9"/>
        <v>280.63389999999998</v>
      </c>
      <c r="I90" s="95">
        <f>36.55334</f>
        <v>36.553339999999999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0.16408</f>
        <v>0.16408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0.07832</f>
        <v>7.8320000000000001E-2</v>
      </c>
      <c r="G92" s="95">
        <f>15.40562</f>
        <v>15.405620000000001</v>
      </c>
      <c r="H92" s="136">
        <f>E92-G92</f>
        <v>34.594380000000001</v>
      </c>
      <c r="I92" s="95">
        <f>54.39506</f>
        <v>54.395060000000001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0.053</f>
        <v>5.2999999999999999E-2</v>
      </c>
      <c r="G93" s="136">
        <f>40.79124</f>
        <v>40.791240000000002</v>
      </c>
      <c r="H93" s="136">
        <f t="shared" ref="H93" si="10">E93-G93</f>
        <v>-40.791240000000002</v>
      </c>
      <c r="I93" s="136">
        <f>52.57492</f>
        <v>52.574919999999999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808.87511999999992</v>
      </c>
      <c r="G94" s="73">
        <f t="shared" si="12"/>
        <v>60549.929369999998</v>
      </c>
      <c r="H94" s="73">
        <f t="shared" si="12"/>
        <v>10351.070630000002</v>
      </c>
      <c r="I94" s="73">
        <f t="shared" si="12"/>
        <v>68120.102540000007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808.37522999999999</v>
      </c>
      <c r="G115" s="10">
        <f t="shared" si="13"/>
        <v>45992.598319999997</v>
      </c>
      <c r="H115" s="10">
        <f t="shared" si="13"/>
        <v>25022.401680000003</v>
      </c>
      <c r="I115" s="10">
        <f t="shared" si="13"/>
        <v>59529.368060000008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808.37523</f>
        <v>808.37522999999999</v>
      </c>
      <c r="G116" s="22">
        <f>41295.23804</f>
        <v>41295.238039999997</v>
      </c>
      <c r="H116" s="22">
        <f>E116-G116</f>
        <v>15154.761960000003</v>
      </c>
      <c r="I116" s="22">
        <f>53269.23337</f>
        <v>53269.233370000002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4608.27968</f>
        <v>4608.2796799999996</v>
      </c>
      <c r="H117" s="22">
        <f>E117-G117</f>
        <v>9456.7203200000004</v>
      </c>
      <c r="I117" s="22">
        <f>6183.62054</f>
        <v>6183.6205399999999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28.149</f>
        <v>28.149000000000001</v>
      </c>
      <c r="G119" s="92">
        <f>30187.2867+4243.0158</f>
        <v>34430.302499999998</v>
      </c>
      <c r="H119" s="92">
        <f>E119-G119</f>
        <v>16999.697500000002</v>
      </c>
      <c r="I119" s="92">
        <f>16571.0878</f>
        <v>16571.087800000001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1491.6559000000002</v>
      </c>
      <c r="G120" s="91">
        <f t="shared" ref="G120" si="14">G121+G126+G129</f>
        <v>47741.55131000001</v>
      </c>
      <c r="H120" s="91">
        <f>H121+H126+H129</f>
        <v>27303.448689999997</v>
      </c>
      <c r="I120" s="91">
        <f>I121+I126+I129</f>
        <v>72340.155350000001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1369.8695700000001</v>
      </c>
      <c r="G121" s="121">
        <f>G122+G123+G125+G124</f>
        <v>35615.439200000008</v>
      </c>
      <c r="H121" s="121">
        <f>H122+H123+H124+H125</f>
        <v>20743.560799999999</v>
      </c>
      <c r="I121" s="121">
        <f>I122+I123+I124+I125</f>
        <v>56659.85572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308.29926</f>
        <v>308.29926</v>
      </c>
      <c r="G122" s="123">
        <f>9184.43657</f>
        <v>9184.4365699999998</v>
      </c>
      <c r="H122" s="123">
        <f>E122-G122</f>
        <v>6831.5634300000002</v>
      </c>
      <c r="I122" s="123">
        <f>11380.90847</f>
        <v>11380.90847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433.93046</f>
        <v>433.93045999999998</v>
      </c>
      <c r="G123" s="123">
        <f>10158.84727-235.3542</f>
        <v>9923.4930700000004</v>
      </c>
      <c r="H123" s="123">
        <f>E123-G123</f>
        <v>4930.5069299999996</v>
      </c>
      <c r="I123" s="123">
        <f>14574.22947</f>
        <v>14574.22947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286.93445</f>
        <v>286.93445000000003</v>
      </c>
      <c r="G124" s="123">
        <f>9568.26265-873.4879</f>
        <v>8694.7747500000005</v>
      </c>
      <c r="H124" s="123">
        <f>E124-G124</f>
        <v>4177.2252499999995</v>
      </c>
      <c r="I124" s="123">
        <f>14854.74097</f>
        <v>14854.740970000001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340.7054</f>
        <v>340.7054</v>
      </c>
      <c r="G125" s="123">
        <f>10946.90851-3134.1737</f>
        <v>7812.7348099999999</v>
      </c>
      <c r="H125" s="123">
        <f>E125-G125</f>
        <v>4804.2651900000001</v>
      </c>
      <c r="I125" s="123">
        <f>15849.97681</f>
        <v>15849.97681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2.3628</v>
      </c>
      <c r="G126" s="129">
        <f>SUM(G127:G128)</f>
        <v>6303.1468999999997</v>
      </c>
      <c r="H126" s="129">
        <f>H127+H128</f>
        <v>1438.8531000000003</v>
      </c>
      <c r="I126" s="129">
        <f>SUM(I127:I128)</f>
        <v>9055.7015499999998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0.5832</f>
        <v>0.58320000000000005</v>
      </c>
      <c r="G127" s="123">
        <f>6101.29238</f>
        <v>6101.2923799999999</v>
      </c>
      <c r="H127" s="123">
        <f t="shared" ref="H127:H135" si="15">E127-G127</f>
        <v>1140.7076200000001</v>
      </c>
      <c r="I127" s="123">
        <f>8596.0398</f>
        <v>8596.0398000000005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1.7796</f>
        <v>1.7796000000000001</v>
      </c>
      <c r="G128" s="123">
        <f>201.85452</f>
        <v>201.85452000000001</v>
      </c>
      <c r="H128" s="123">
        <f t="shared" si="15"/>
        <v>298.14548000000002</v>
      </c>
      <c r="I128" s="123">
        <f>459.66175</f>
        <v>459.66174999999998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119.42353</f>
        <v>119.42353</v>
      </c>
      <c r="G129" s="72">
        <f>5822.96521</f>
        <v>5822.9652100000003</v>
      </c>
      <c r="H129" s="72">
        <f t="shared" si="15"/>
        <v>5121.0347899999997</v>
      </c>
      <c r="I129" s="72">
        <f>6624.59808</f>
        <v>6624.5980799999998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0.13163</f>
        <v>0.13163</v>
      </c>
      <c r="G130" s="136">
        <f>18.56421</f>
        <v>18.564209999999999</v>
      </c>
      <c r="H130" s="136">
        <f t="shared" si="15"/>
        <v>127.43579</v>
      </c>
      <c r="I130" s="136">
        <f>16.4753</f>
        <v>16.475300000000001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0.9731</f>
        <v>0.97309999999999997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1.10408</f>
        <v>1.10408</v>
      </c>
      <c r="G134" s="95">
        <f>91.80808</f>
        <v>91.808080000000004</v>
      </c>
      <c r="H134" s="136">
        <f t="shared" si="15"/>
        <v>221.19191999999998</v>
      </c>
      <c r="I134" s="95">
        <f>77.15841</f>
        <v>77.158410000000003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0.614</f>
        <v>0.61399999999999999</v>
      </c>
      <c r="G135" s="136">
        <f>278.24059</f>
        <v>278.24059</v>
      </c>
      <c r="H135" s="136">
        <f t="shared" si="15"/>
        <v>-278.24059</v>
      </c>
      <c r="I135" s="136">
        <f>292.20924</f>
        <v>292.20924000000002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2331.0029400000003</v>
      </c>
      <c r="G137" s="73">
        <f>G115+G119+G120+G130+G131+G132+G133+G134+G135</f>
        <v>130554.43301000001</v>
      </c>
      <c r="H137" s="73">
        <f>H115+H119+H120+H130+H131+H132+H133+H134+H135</f>
        <v>69744.566990000007</v>
      </c>
      <c r="I137" s="73">
        <f>I115+I119+I120+I130+I131+I132+I133+I134+I135</f>
        <v>151082.49015999999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81.04736</f>
        <v>81.047359999999998</v>
      </c>
      <c r="F160" s="297">
        <f>1365.53423</f>
        <v>1365.53423</v>
      </c>
      <c r="G160" s="42">
        <f>D160-F160-F161</f>
        <v>948.44879999999989</v>
      </c>
      <c r="H160" s="297">
        <f>1514.06811</f>
        <v>1514.0681099999999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1448.01697</f>
        <v>1448.0169699999999</v>
      </c>
      <c r="G161" s="219"/>
      <c r="H161" s="148">
        <f>1630.7793</f>
        <v>1630.7792999999999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1.824</f>
        <v>1.8240000000000001</v>
      </c>
      <c r="F162" s="166">
        <f>89.41574</f>
        <v>89.41574</v>
      </c>
      <c r="G162" s="166">
        <f>D162-F162</f>
        <v>110.58426</v>
      </c>
      <c r="H162" s="166">
        <f>117.21187</f>
        <v>117.21187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9.3556699999999999</v>
      </c>
      <c r="F163" s="175">
        <f>F164+F165+F166</f>
        <v>5478.05278</v>
      </c>
      <c r="G163" s="175">
        <f>D163-F163</f>
        <v>163.94722000000002</v>
      </c>
      <c r="H163" s="175">
        <f>H164+H165+H166</f>
        <v>5995.5043800000003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2.7737</f>
        <v>2.7736999999999998</v>
      </c>
      <c r="F164" s="123">
        <f>3079.94236</f>
        <v>3079.94236</v>
      </c>
      <c r="G164" s="123"/>
      <c r="H164" s="123">
        <f>3092.5977</f>
        <v>3092.5976999999998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4.20261</f>
        <v>4.20261</v>
      </c>
      <c r="F165" s="123">
        <f>1601.47073</f>
        <v>1601.47073</v>
      </c>
      <c r="G165" s="123"/>
      <c r="H165" s="123">
        <f>1830.90351</f>
        <v>1830.9035100000001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2.37936</f>
        <v>2.3793600000000001</v>
      </c>
      <c r="F166" s="186">
        <f>796.63969</f>
        <v>796.63968999999997</v>
      </c>
      <c r="G166" s="186"/>
      <c r="H166" s="186">
        <f>1072.00317</f>
        <v>1072.00317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92.227029999999999</v>
      </c>
      <c r="F169" s="188">
        <f>F160+F161+F162+F163+F167+F168</f>
        <v>8386.3728200000005</v>
      </c>
      <c r="G169" s="188">
        <f>D169-F169</f>
        <v>1288.6271799999995</v>
      </c>
      <c r="H169" s="188">
        <f>H160+H161+H162+H163+H167+H168</f>
        <v>9257.5636599999998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44.24792</f>
        <v>44.247920000000001</v>
      </c>
      <c r="G189" s="124">
        <f>45262.47528</f>
        <v>45262.475279999999</v>
      </c>
      <c r="H189" s="124">
        <f>E189-G189</f>
        <v>-1927.4752799999987</v>
      </c>
      <c r="I189" s="124">
        <f>43541.27346</f>
        <v>43541.273459999997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0.0705</f>
        <v>7.0499999999999993E-2</v>
      </c>
      <c r="G190" s="124">
        <f>50.1571</f>
        <v>50.1571</v>
      </c>
      <c r="H190" s="124">
        <f>E190-G190</f>
        <v>49.8429</v>
      </c>
      <c r="I190" s="124">
        <f>44.2521</f>
        <v>44.252099999999999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44.318420000000003</v>
      </c>
      <c r="G192" s="190">
        <f>SUM(G189:G191)</f>
        <v>45312.632379999995</v>
      </c>
      <c r="H192" s="190">
        <f>E192-G192</f>
        <v>-1841.6323799999955</v>
      </c>
      <c r="I192" s="190">
        <f>SUM(I189:I191)</f>
        <v>43585.525559999995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20.98085</v>
      </c>
      <c r="F202" s="72">
        <f>F203+F204</f>
        <v>3981.0415599999997</v>
      </c>
      <c r="G202" s="72">
        <f>D202-F202</f>
        <v>5.958440000000337</v>
      </c>
      <c r="H202" s="72">
        <f>H203+H204</f>
        <v>4325.6107000000002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8.512</f>
        <v>8.5120000000000005</v>
      </c>
      <c r="F203" s="72">
        <f>3192.16659</f>
        <v>3192.1665899999998</v>
      </c>
      <c r="G203" s="72"/>
      <c r="H203" s="72">
        <f>3666.38329</f>
        <v>3666.3832900000002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12.46885</f>
        <v>12.46885</v>
      </c>
      <c r="F204" s="124">
        <f>788.87497</f>
        <v>788.87496999999996</v>
      </c>
      <c r="G204" s="168"/>
      <c r="H204" s="124">
        <f>659.22741</f>
        <v>659.22740999999996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57.11042</f>
        <v>57.110419999999998</v>
      </c>
      <c r="F205" s="72">
        <f>4853.84627</f>
        <v>4853.84627</v>
      </c>
      <c r="G205" s="72">
        <f>D205-F205</f>
        <v>-240.84627</v>
      </c>
      <c r="H205" s="72">
        <f>5509.41154</f>
        <v>5509.4115400000001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78.091269999999994</v>
      </c>
      <c r="F206" s="190">
        <f>SUM(F202,F205)</f>
        <v>8834.8878299999997</v>
      </c>
      <c r="G206" s="190">
        <f>D206-F206</f>
        <v>-234.88782999999967</v>
      </c>
      <c r="H206" s="190">
        <f>SUM(H202,H205)</f>
        <v>9835.0222400000002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23.215159999999997</v>
      </c>
      <c r="F215" s="72">
        <f>F216+F217</f>
        <v>5463.6182000000008</v>
      </c>
      <c r="G215" s="72">
        <f>D215-F215</f>
        <v>-373.6182000000008</v>
      </c>
      <c r="H215" s="72">
        <f>H216+H217</f>
        <v>5427.8726699999997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13.2708</f>
        <v>13.270799999999999</v>
      </c>
      <c r="F216" s="72">
        <f>5044.14655</f>
        <v>5044.1465500000004</v>
      </c>
      <c r="G216" s="72"/>
      <c r="H216" s="72">
        <f>4868.23823</f>
        <v>4868.2382299999999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9.94436</f>
        <v>9.9443599999999996</v>
      </c>
      <c r="F217" s="124">
        <f>419.47165</f>
        <v>419.47165000000001</v>
      </c>
      <c r="G217" s="168"/>
      <c r="H217" s="124">
        <f>559.63444</f>
        <v>559.63444000000004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182.187</f>
        <v>182.18700000000001</v>
      </c>
      <c r="F218" s="72">
        <f>3163.94219</f>
        <v>3163.9421900000002</v>
      </c>
      <c r="G218" s="72">
        <f>D218-F218</f>
        <v>-182.94219000000021</v>
      </c>
      <c r="H218" s="72">
        <f>3258.74063</f>
        <v>3258.7406299999998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205.40216000000001</v>
      </c>
      <c r="F219" s="190">
        <f>SUM(F215,F218)</f>
        <v>8627.5603900000006</v>
      </c>
      <c r="G219" s="190">
        <f>D219-F219</f>
        <v>-556.56039000000055</v>
      </c>
      <c r="H219" s="190">
        <f>SUM(H215,H218)</f>
        <v>8686.6132999999991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5.4036</f>
        <v>5.4036</v>
      </c>
      <c r="F237" s="124">
        <f>611.08323</f>
        <v>611.08322999999996</v>
      </c>
      <c r="G237" s="124">
        <f>D237-F237</f>
        <v>188.91677000000004</v>
      </c>
      <c r="H237" s="124">
        <f>671.79415</f>
        <v>671.79414999999995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6.95075</f>
        <v>6.9507500000000002</v>
      </c>
      <c r="F238" s="124">
        <f>1539.78913</f>
        <v>1539.7891299999999</v>
      </c>
      <c r="G238" s="124">
        <f>D238-F238</f>
        <v>653.21087000000011</v>
      </c>
      <c r="H238" s="124">
        <f>2538.86635</f>
        <v>2538.8663499999998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2.53616</f>
        <v>2.5361600000000002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12.35435</v>
      </c>
      <c r="F241" s="190">
        <f>SUM(F237:F240)</f>
        <v>2157.1948899999998</v>
      </c>
      <c r="G241" s="190">
        <f>D241-F241</f>
        <v>845.80511000000024</v>
      </c>
      <c r="H241" s="190">
        <f>H237+H238+H239+H240</f>
        <v>3216.9832799999999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167.62966</v>
      </c>
      <c r="G262" s="276">
        <f t="shared" si="17"/>
        <v>26118.665909999996</v>
      </c>
      <c r="H262" s="276">
        <f>H266+H265+H264+H263</f>
        <v>1617.3340900000012</v>
      </c>
      <c r="I262" s="276">
        <f t="shared" si="17"/>
        <v>20157.773550000002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162.7771</f>
        <v>162.77709999999999</v>
      </c>
      <c r="G263" s="280">
        <f>18083.93813</f>
        <v>18083.938129999999</v>
      </c>
      <c r="H263" s="280">
        <f t="shared" ref="H263:H267" si="18">E263-G263</f>
        <v>-1413.9381299999986</v>
      </c>
      <c r="I263" s="280">
        <f>13098.60783</f>
        <v>13098.607830000001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3098.57703</f>
        <v>3098.5770299999999</v>
      </c>
      <c r="H264" s="280">
        <f>E264-G264</f>
        <v>1240.4229700000001</v>
      </c>
      <c r="I264" s="280">
        <f>2382.55392</f>
        <v>2382.5539199999998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3.17256</f>
        <v>3.1725599999999998</v>
      </c>
      <c r="G265" s="280">
        <f>1756.52996</f>
        <v>1756.5299600000001</v>
      </c>
      <c r="H265" s="280">
        <f t="shared" si="18"/>
        <v>-185.52996000000007</v>
      </c>
      <c r="I265" s="280">
        <f>2139.75189</f>
        <v>2139.75189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1.68</f>
        <v>1.68</v>
      </c>
      <c r="G266" s="280">
        <f>3179.62079</f>
        <v>3179.6207899999999</v>
      </c>
      <c r="H266" s="280">
        <f t="shared" si="18"/>
        <v>1976.3792100000001</v>
      </c>
      <c r="I266" s="280">
        <f>2536.85991</f>
        <v>2536.8599100000001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0.455</f>
        <v>0.45500000000000002</v>
      </c>
      <c r="G267" s="290">
        <f>4150.30224</f>
        <v>4150.30224</v>
      </c>
      <c r="H267" s="290">
        <f t="shared" si="18"/>
        <v>1349.69776</v>
      </c>
      <c r="I267" s="290">
        <f>2171.77478</f>
        <v>2171.7747800000002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66.353939999999994</v>
      </c>
      <c r="G268" s="291">
        <f>G270+G269</f>
        <v>3716.3806199999999</v>
      </c>
      <c r="H268" s="291">
        <f>E268-G268</f>
        <v>4283.6193800000001</v>
      </c>
      <c r="I268" s="291">
        <f>I270+I269</f>
        <v>4136.9738799999996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543.14094</f>
        <v>543.14094</v>
      </c>
      <c r="H269" s="280"/>
      <c r="I269" s="280">
        <f>1065.82857</f>
        <v>1065.8285699999999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66.35394</f>
        <v>66.353939999999994</v>
      </c>
      <c r="G270" s="299">
        <f>3173.23968</f>
        <v>3173.2396800000001</v>
      </c>
      <c r="H270" s="299"/>
      <c r="I270" s="299">
        <f>3071.14531</f>
        <v>3071.1453099999999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0.184</f>
        <v>0.184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2.78744</f>
        <v>2.7874400000000001</v>
      </c>
      <c r="G272" s="290">
        <f>186.90753</f>
        <v>186.90753000000001</v>
      </c>
      <c r="H272" s="290">
        <f>E272-G272</f>
        <v>-186.90753000000001</v>
      </c>
      <c r="I272" s="290">
        <f>133.63597</f>
        <v>133.63596999999999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237.41004000000001</v>
      </c>
      <c r="G273" s="308">
        <f t="shared" si="19"/>
        <v>34173.008799999996</v>
      </c>
      <c r="H273" s="308">
        <f>H262+H267+H268+H271+H272</f>
        <v>7075.9912000000013</v>
      </c>
      <c r="I273" s="308">
        <f t="shared" si="19"/>
        <v>26600.314680000003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924.82743000000005</v>
      </c>
      <c r="G294" s="82">
        <f>D294-F294</f>
        <v>-145.82743000000005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683.99675</f>
        <v>683.99675000000002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240.83068</f>
        <v>240.83068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37.145499999999998</v>
      </c>
      <c r="F297" s="25">
        <f>SUM(F298:F299)</f>
        <v>128.76669999999999</v>
      </c>
      <c r="G297" s="82">
        <f>D297-F297</f>
        <v>650.23329999999999</v>
      </c>
      <c r="H297" s="25">
        <f>SUM(H298:H299)</f>
        <v>193.20519999999999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27.6135</f>
        <v>27.613499999999998</v>
      </c>
      <c r="F298" s="29">
        <f>100.8428</f>
        <v>100.8428</v>
      </c>
      <c r="G298" s="94"/>
      <c r="H298" s="29">
        <f>129.524</f>
        <v>129.524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9.532</f>
        <v>9.532</v>
      </c>
      <c r="F299" s="29">
        <f>27.9239</f>
        <v>27.9239</v>
      </c>
      <c r="G299" s="105"/>
      <c r="H299" s="29">
        <f>63.6812</f>
        <v>63.681199999999997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37.145499999999998</v>
      </c>
      <c r="F304" s="39">
        <f>F294+F297+F300+F303</f>
        <v>1053.59413</v>
      </c>
      <c r="G304" s="40">
        <f>D304-F304</f>
        <v>1284.40587</v>
      </c>
      <c r="H304" s="39">
        <f>H294+H297+H300+H303</f>
        <v>1216.4110799999999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1.12586</f>
        <v>1.1258600000000001</v>
      </c>
      <c r="F322" s="29">
        <f>1060.38121</f>
        <v>1060.38121</v>
      </c>
      <c r="G322" s="238">
        <f>D322-F322</f>
        <v>-812.38121000000001</v>
      </c>
      <c r="H322" s="29">
        <f>667.5768</f>
        <v>667.57680000000005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37.85948</f>
        <v>37.859479999999998</v>
      </c>
      <c r="F323" s="29">
        <f>2085.83728</f>
        <v>2085.8372800000002</v>
      </c>
      <c r="G323" s="241">
        <f>D323-F323</f>
        <v>19962.16272</v>
      </c>
      <c r="H323" s="29">
        <f>2281.84654</f>
        <v>2281.84654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38.985340000000001</v>
      </c>
      <c r="F324" s="39">
        <f>F323+F322</f>
        <v>3146.2184900000002</v>
      </c>
      <c r="G324" s="39">
        <f>G323+G322</f>
        <v>19149.781510000001</v>
      </c>
      <c r="H324" s="39">
        <f>H323+H322</f>
        <v>2949.4233400000003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47&amp;R24.11.2025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2025-11-24T12:40:09Z</dcterms:modified>
</cp:coreProperties>
</file>