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42D88E0B-BB6C-47A6-BEC1-10F8FB3A7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 l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H325" i="1"/>
  <c r="F325" i="1"/>
  <c r="F324" i="1" s="1"/>
  <c r="G324" i="1" s="1"/>
  <c r="E325" i="1"/>
  <c r="H324" i="1"/>
  <c r="E324" i="1"/>
  <c r="H323" i="1"/>
  <c r="F323" i="1"/>
  <c r="E323" i="1"/>
  <c r="E321" i="1" s="1"/>
  <c r="E331" i="1" s="1"/>
  <c r="H322" i="1"/>
  <c r="F322" i="1"/>
  <c r="F321" i="1" s="1"/>
  <c r="E322" i="1"/>
  <c r="H321" i="1"/>
  <c r="H331" i="1" s="1"/>
  <c r="E299" i="1"/>
  <c r="D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G294" i="1" s="1"/>
  <c r="H294" i="1" s="1"/>
  <c r="F295" i="1"/>
  <c r="I294" i="1"/>
  <c r="I293" i="1"/>
  <c r="G293" i="1"/>
  <c r="H293" i="1" s="1"/>
  <c r="F293" i="1"/>
  <c r="I292" i="1"/>
  <c r="H292" i="1"/>
  <c r="G292" i="1"/>
  <c r="F292" i="1"/>
  <c r="I291" i="1"/>
  <c r="G291" i="1"/>
  <c r="G288" i="1" s="1"/>
  <c r="G299" i="1" s="1"/>
  <c r="F291" i="1"/>
  <c r="I290" i="1"/>
  <c r="H290" i="1"/>
  <c r="G290" i="1"/>
  <c r="F290" i="1"/>
  <c r="I289" i="1"/>
  <c r="G289" i="1"/>
  <c r="H289" i="1" s="1"/>
  <c r="F289" i="1"/>
  <c r="I288" i="1"/>
  <c r="I299" i="1" s="1"/>
  <c r="F288" i="1"/>
  <c r="F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6" i="1"/>
  <c r="H205" i="1"/>
  <c r="F205" i="1"/>
  <c r="G205" i="1" s="1"/>
  <c r="E205" i="1"/>
  <c r="H204" i="1"/>
  <c r="H207" i="1" s="1"/>
  <c r="G204" i="1"/>
  <c r="F204" i="1"/>
  <c r="F207" i="1" s="1"/>
  <c r="G207" i="1" s="1"/>
  <c r="E204" i="1"/>
  <c r="D184" i="1"/>
  <c r="H182" i="1"/>
  <c r="G182" i="1"/>
  <c r="F182" i="1"/>
  <c r="E182" i="1"/>
  <c r="H181" i="1"/>
  <c r="F181" i="1"/>
  <c r="E181" i="1"/>
  <c r="H180" i="1"/>
  <c r="F180" i="1"/>
  <c r="F178" i="1" s="1"/>
  <c r="G178" i="1" s="1"/>
  <c r="E180" i="1"/>
  <c r="H179" i="1"/>
  <c r="F179" i="1"/>
  <c r="E179" i="1"/>
  <c r="H178" i="1"/>
  <c r="E178" i="1"/>
  <c r="E184" i="1" s="1"/>
  <c r="H177" i="1"/>
  <c r="G177" i="1"/>
  <c r="F177" i="1"/>
  <c r="E177" i="1"/>
  <c r="H176" i="1"/>
  <c r="F176" i="1"/>
  <c r="G175" i="1" s="1"/>
  <c r="E176" i="1"/>
  <c r="H175" i="1"/>
  <c r="H184" i="1" s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I133" i="1" s="1"/>
  <c r="H140" i="1"/>
  <c r="H139" i="1" s="1"/>
  <c r="G140" i="1"/>
  <c r="F140" i="1"/>
  <c r="F139" i="1" s="1"/>
  <c r="G139" i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I134" i="1"/>
  <c r="G134" i="1"/>
  <c r="G133" i="1" s="1"/>
  <c r="E134" i="1"/>
  <c r="I132" i="1"/>
  <c r="H132" i="1"/>
  <c r="F132" i="1"/>
  <c r="H131" i="1"/>
  <c r="I130" i="1"/>
  <c r="I128" i="1" s="1"/>
  <c r="H130" i="1"/>
  <c r="G130" i="1"/>
  <c r="F130" i="1"/>
  <c r="I129" i="1"/>
  <c r="G129" i="1"/>
  <c r="G128" i="1" s="1"/>
  <c r="F129" i="1"/>
  <c r="F128" i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H97" i="1"/>
  <c r="H96" i="1" s="1"/>
  <c r="G97" i="1"/>
  <c r="F97" i="1"/>
  <c r="I96" i="1"/>
  <c r="I95" i="1" s="1"/>
  <c r="G96" i="1"/>
  <c r="G95" i="1" s="1"/>
  <c r="F96" i="1"/>
  <c r="F95" i="1" s="1"/>
  <c r="E96" i="1"/>
  <c r="D96" i="1"/>
  <c r="E95" i="1"/>
  <c r="D95" i="1"/>
  <c r="D107" i="1" s="1"/>
  <c r="I94" i="1"/>
  <c r="H94" i="1"/>
  <c r="G94" i="1"/>
  <c r="F94" i="1"/>
  <c r="I93" i="1"/>
  <c r="I92" i="1" s="1"/>
  <c r="I107" i="1" s="1"/>
  <c r="G93" i="1"/>
  <c r="G92" i="1" s="1"/>
  <c r="G107" i="1" s="1"/>
  <c r="F93" i="1"/>
  <c r="F92" i="1" s="1"/>
  <c r="F107" i="1" s="1"/>
  <c r="E92" i="1"/>
  <c r="E107" i="1" s="1"/>
  <c r="C89" i="1"/>
  <c r="H85" i="1"/>
  <c r="F85" i="1"/>
  <c r="D85" i="1"/>
  <c r="G61" i="1"/>
  <c r="G60" i="1"/>
  <c r="H55" i="1"/>
  <c r="G55" i="1"/>
  <c r="F55" i="1"/>
  <c r="E55" i="1"/>
  <c r="F32" i="1" s="1"/>
  <c r="F27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G34" i="1" s="1"/>
  <c r="F35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F29" i="1"/>
  <c r="I28" i="1"/>
  <c r="G28" i="1"/>
  <c r="H28" i="1" s="1"/>
  <c r="F28" i="1"/>
  <c r="I25" i="1"/>
  <c r="G25" i="1"/>
  <c r="G23" i="1" s="1"/>
  <c r="F25" i="1"/>
  <c r="I24" i="1"/>
  <c r="G24" i="1"/>
  <c r="H24" i="1" s="1"/>
  <c r="F24" i="1"/>
  <c r="I23" i="1"/>
  <c r="F23" i="1"/>
  <c r="H16" i="1"/>
  <c r="F16" i="1"/>
  <c r="D16" i="1"/>
  <c r="G150" i="1" l="1"/>
  <c r="I27" i="1"/>
  <c r="I26" i="1"/>
  <c r="I44" i="1" s="1"/>
  <c r="F34" i="1"/>
  <c r="F26" i="1" s="1"/>
  <c r="F44" i="1" s="1"/>
  <c r="G27" i="1"/>
  <c r="G26" i="1" s="1"/>
  <c r="G44" i="1" s="1"/>
  <c r="H95" i="1"/>
  <c r="H134" i="1"/>
  <c r="H133" i="1" s="1"/>
  <c r="F184" i="1"/>
  <c r="G184" i="1"/>
  <c r="H34" i="1"/>
  <c r="G321" i="1"/>
  <c r="G331" i="1" s="1"/>
  <c r="F331" i="1"/>
  <c r="I150" i="1"/>
  <c r="H27" i="1"/>
  <c r="F133" i="1"/>
  <c r="F150" i="1" s="1"/>
  <c r="H25" i="1"/>
  <c r="H23" i="1" s="1"/>
  <c r="H29" i="1"/>
  <c r="H35" i="1"/>
  <c r="H93" i="1"/>
  <c r="H92" i="1" s="1"/>
  <c r="H107" i="1" s="1"/>
  <c r="H129" i="1"/>
  <c r="H128" i="1" s="1"/>
  <c r="H291" i="1"/>
  <c r="H288" i="1" s="1"/>
  <c r="H299" i="1" s="1"/>
  <c r="H150" i="1" l="1"/>
  <c r="H26" i="1"/>
  <c r="H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<sst xmlns="http://schemas.openxmlformats.org/spreadsheetml/2006/main" count="330" uniqueCount="148">
  <si>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</si>
  <si>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</si>
  <si>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</si>
  <si>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</si>
  <si>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</si>
  <si>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</si>
  <si>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</si>
  <si>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</si>
  <si>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</si>
  <si>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</si>
  <si>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</si>
  <si>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</si>
  <si>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</si>
  <si>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</si>
  <si>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</si>
  <si>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</si>
  <si>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</si>
  <si>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</si>
  <si>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</si>
  <si>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</si>
  <si>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</si>
  <si>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</si>
  <si>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</si>
  <si>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</si>
  <si>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</si>
  <si>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</si>
  <si>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</si>
  <si>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</si>
  <si>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</si>
  <si>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</si>
  <si>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</si>
  <si>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</si>
  <si>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</si>
  <si>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</si>
  <si>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</si>
  <si>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</si>
  <si>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</si>
  <si>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</si>
  <si>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</si>
  <si>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</si>
  <si>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</si>
  <si>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</si>
  <si>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</si>
  <si>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</si>
  <si>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</si>
  <si>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</si>
  <si>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</si>
  <si>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</si>
  <si>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</si>
  <si>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</si>
  <si>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</si>
  <si>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</si>
  <si>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</si>
  <si>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</si>
  <si>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</si>
  <si>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</si>
  <si>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</si>
  <si>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</si>
  <si>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</si>
  <si>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</si>
  <si>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</si>
  <si>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</si>
  <si>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</si>
  <si>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</si>
  <si>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</si>
  <si>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</si>
  <si>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</si>
  <si>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</si>
  <si>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</si>
  <si>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</si>
  <si>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</si>
  <si>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</si>
  <si>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</si>
  <si>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</si>
  <si>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</si>
  <si>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</si>
  <si>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</si>
  <si>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</si>
  <si>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</si>
  <si>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</si>
  <si>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</si>
  <si>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</si>
  <si>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</si>
  <si>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</si>
  <si>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</si>
  <si>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</si>
  <si>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</si>
  <si>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</si>
  <si>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</si>
  <si>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</si>
  <si>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</si>
  <si>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</si>
  <si>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</si>
  <si>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</si>
  <si>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</si>
  <si>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</si>
  <si>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</si>
  <si>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</si>
  <si>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</si>
  <si>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</si>
  <si>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</si>
  <si>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</si>
  <si>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</si>
  <si>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</si>
  <si>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</si>
  <si>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</si>
  <si>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</si>
  <si>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</si>
  <si>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</si>
  <si>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</si>
  <si>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</si>
  <si>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</si>
  <si>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</si>
  <si>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</si>
  <si>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</si>
  <si>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</si>
  <si>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</si>
  <si>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</si>
  <si>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</si>
  <si>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</si>
  <si>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</si>
  <si>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</si>
  <si>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</si>
  <si>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</si>
  <si>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</si>
  <si>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</si>
  <si>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</si>
  <si>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</si>
  <si>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</si>
  <si>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</si>
  <si>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</si>
  <si>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</si>
  <si>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</si>
  <si>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</si>
  <si>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</si>
  <si>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</si>
  <si>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</si>
  <si>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</si>
  <si>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</si>
  <si>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</si>
  <si>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19</t>
  </si>
  <si>
    <t>FANGST T.O.M UKE 19</t>
  </si>
  <si>
    <t>RESTKVOTER UKE 19</t>
  </si>
  <si>
    <t>FANGST T.O.M UKE 19 2022</t>
  </si>
  <si>
    <r>
      <t xml:space="preserve">3 </t>
    </r>
    <r>
      <rPr>
        <sz val="9"/>
        <color indexed="8"/>
        <rFont val="Calibri"/>
        <family val="2"/>
      </rPr>
      <t>Registrert rekreasjonsfiske utgjør 460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</si>
  <si>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</si>
  <si>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230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</si>
  <si>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1 365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</si>
</sst>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I15" sqref="I1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444.15300000000002</v>
      </c>
      <c r="G23" s="28">
        <f t="shared" si="0"/>
        <v>41187.861619999996</v>
      </c>
      <c r="H23" s="11">
        <f t="shared" si="0"/>
        <v>45639.138380000004</v>
      </c>
      <c r="I23" s="11">
        <f t="shared" si="0"/>
        <v>49385.646799999995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444.153</f>
        <v>444.15300000000002</v>
      </c>
      <c r="G24" s="23">
        <f>40996.21913</f>
        <v>40996.219129999998</v>
      </c>
      <c r="H24" s="23">
        <f>E24-G24</f>
        <v>45048.780870000002</v>
      </c>
      <c r="I24" s="23">
        <f>49095.45933</f>
        <v>49095.459329999998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191.64249</f>
        <v>191.64249000000001</v>
      </c>
      <c r="H25" s="23">
        <f>E25-G25</f>
        <v>590.35751000000005</v>
      </c>
      <c r="I25" s="23">
        <f>290.18747</f>
        <v>290.18747000000002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3996.2341500000002</v>
      </c>
      <c r="G26" s="11">
        <f t="shared" si="1"/>
        <v>155975.29015000002</v>
      </c>
      <c r="H26" s="11">
        <f t="shared" si="1"/>
        <v>41594.709849999999</v>
      </c>
      <c r="I26" s="11">
        <f t="shared" si="1"/>
        <v>185783.86541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2305.14867</v>
      </c>
      <c r="G27" s="134">
        <f t="shared" ref="G27:I27" si="2">G28+G29+G30+G31+G32</f>
        <v>125199.03758</v>
      </c>
      <c r="H27" s="134">
        <f t="shared" si="2"/>
        <v>27451.96242</v>
      </c>
      <c r="I27" s="134">
        <f t="shared" si="2"/>
        <v>155546.9767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539.96054</f>
        <v>539.96054000000004</v>
      </c>
      <c r="G28" s="129">
        <f>34797.30502 - F57</f>
        <v>34797.30502</v>
      </c>
      <c r="H28" s="129">
        <f t="shared" ref="H28:H40" si="3">E28-G28</f>
        <v>4751.6949800000002</v>
      </c>
      <c r="I28" s="129">
        <f>39883.276 - H57</f>
        <v>39883.275999999998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531.07424</f>
        <v>531.07424000000003</v>
      </c>
      <c r="G29" s="129">
        <f>35556.60422 - F58</f>
        <v>35556.604220000001</v>
      </c>
      <c r="H29" s="129">
        <f t="shared" si="3"/>
        <v>5207.3957799999989</v>
      </c>
      <c r="I29" s="129">
        <f>42802.60735 - H58</f>
        <v>42802.607349999998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750.42558</f>
        <v>750.42557999999997</v>
      </c>
      <c r="G30" s="129">
        <f>32495.14894 - F59</f>
        <v>32495.148939999999</v>
      </c>
      <c r="H30" s="129">
        <f t="shared" si="3"/>
        <v>4771.8510600000009</v>
      </c>
      <c r="I30" s="129">
        <f>41942.59801 - H59</f>
        <v>41942.598010000002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483.68831</f>
        <v>483.68831</v>
      </c>
      <c r="G31" s="129">
        <f>22349.9794 - F60</f>
        <v>22349.9794</v>
      </c>
      <c r="H31" s="129">
        <f t="shared" si="3"/>
        <v>3057.0205999999998</v>
      </c>
      <c r="I31" s="129">
        <f>30918.49534 - H60</f>
        <v>30918.495340000001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809.17449</f>
        <v>809.17448999999999</v>
      </c>
      <c r="G33" s="134">
        <f>12178.82793</f>
        <v>12178.827929999999</v>
      </c>
      <c r="H33" s="134">
        <f t="shared" si="3"/>
        <v>11407.172070000001</v>
      </c>
      <c r="I33" s="134">
        <f>13411.02865</f>
        <v>13411.02865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881.91098999999997</v>
      </c>
      <c r="G34" s="134">
        <f>G35+G36</f>
        <v>18597.424640000001</v>
      </c>
      <c r="H34" s="134">
        <f t="shared" si="3"/>
        <v>2735.5753599999989</v>
      </c>
      <c r="I34" s="134">
        <f>I35+I36</f>
        <v>16825.860059999999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881.91099</f>
        <v>881.91098999999997</v>
      </c>
      <c r="G35" s="134">
        <f>21884.42464 - F61 - F62</f>
        <v>18597.424640000001</v>
      </c>
      <c r="H35" s="129">
        <f t="shared" si="3"/>
        <v>1535.5753599999989</v>
      </c>
      <c r="I35" s="129">
        <f>18029.86006 - H61 - H62</f>
        <v>16825.860059999999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38.1939</f>
        <v>38.193899999999999</v>
      </c>
      <c r="G37" s="141">
        <f>197.676</f>
        <v>197.67599999999999</v>
      </c>
      <c r="H37" s="141">
        <f t="shared" si="3"/>
        <v>2802.3240000000001</v>
      </c>
      <c r="I37" s="141">
        <f>315.21375</f>
        <v>315.21375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0.12945</f>
        <v>0.12945000000000001</v>
      </c>
      <c r="G38" s="100">
        <f>455.66382</f>
        <v>455.66381999999999</v>
      </c>
      <c r="H38" s="100">
        <f t="shared" si="3"/>
        <v>395.33618000000001</v>
      </c>
      <c r="I38" s="100">
        <f>425.73165</f>
        <v>425.73165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337</v>
      </c>
      <c r="G39" s="100">
        <f>F61</f>
        <v>3287</v>
      </c>
      <c r="H39" s="100">
        <f t="shared" si="3"/>
        <v>-239</v>
      </c>
      <c r="I39" s="100">
        <f>H61</f>
        <v>1204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13.06758</f>
        <v>13.06758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4828.7810800000007</v>
      </c>
      <c r="G44" s="78">
        <f t="shared" si="4"/>
        <v>208183.05259000001</v>
      </c>
      <c r="H44" s="78">
        <f t="shared" si="4"/>
        <v>90512.947409999964</v>
      </c>
      <c r="I44" s="78">
        <f t="shared" si="4"/>
        <v>244235.39603999996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144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337</v>
      </c>
      <c r="F61" s="141">
        <v>3287</v>
      </c>
      <c r="G61" s="141">
        <f>D61-F61</f>
        <v>-287</v>
      </c>
      <c r="H61" s="141">
        <v>1204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180.8184</v>
      </c>
      <c r="G92" s="11">
        <f t="shared" si="5"/>
        <v>38098.614320000001</v>
      </c>
      <c r="H92" s="11">
        <f t="shared" si="5"/>
        <v>-3299.6143200000024</v>
      </c>
      <c r="I92" s="11">
        <f t="shared" si="5"/>
        <v>33399.696490000002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180.8184</f>
        <v>180.8184</v>
      </c>
      <c r="G93" s="23">
        <f>37615.59178</f>
        <v>37615.591780000002</v>
      </c>
      <c r="H93" s="23">
        <f>E93-G93</f>
        <v>-3628.5917800000025</v>
      </c>
      <c r="I93" s="23">
        <f>32760.06022</f>
        <v>32760.060219999999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483.02254</f>
        <v>483.02253999999999</v>
      </c>
      <c r="H94" s="52">
        <f>E94-G94</f>
        <v>328.97746000000001</v>
      </c>
      <c r="I94" s="52">
        <f>639.63627</f>
        <v>639.63626999999997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695.3988700000001</v>
      </c>
      <c r="G95" s="11">
        <f t="shared" si="6"/>
        <v>15177.423070000001</v>
      </c>
      <c r="H95" s="11">
        <f t="shared" si="6"/>
        <v>44322.576930000003</v>
      </c>
      <c r="I95" s="11">
        <f t="shared" si="6"/>
        <v>18363.623039999999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503.75802000000004</v>
      </c>
      <c r="G96" s="134">
        <f t="shared" si="7"/>
        <v>10061.564680000001</v>
      </c>
      <c r="H96" s="134">
        <f t="shared" si="7"/>
        <v>34429.435320000004</v>
      </c>
      <c r="I96" s="134">
        <f t="shared" si="7"/>
        <v>13464.933949999999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62.52779</f>
        <v>62.527790000000003</v>
      </c>
      <c r="G97" s="129">
        <f>2006.61667</f>
        <v>2006.6166700000001</v>
      </c>
      <c r="H97" s="129">
        <f t="shared" ref="H97:H104" si="8">E97-G97</f>
        <v>9877.0833300000013</v>
      </c>
      <c r="I97" s="129">
        <f>2111.59923</f>
        <v>2111.5992299999998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143.81281</f>
        <v>143.81281000000001</v>
      </c>
      <c r="G98" s="129">
        <f>3004.8189</f>
        <v>3004.8189000000002</v>
      </c>
      <c r="H98" s="129">
        <f t="shared" si="8"/>
        <v>9660.2811000000002</v>
      </c>
      <c r="I98" s="129">
        <f>4327.06676</f>
        <v>4327.0667599999997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123.96806</f>
        <v>123.96805999999999</v>
      </c>
      <c r="G99" s="129">
        <f>2464.36761</f>
        <v>2464.3676099999998</v>
      </c>
      <c r="H99" s="129">
        <f t="shared" si="8"/>
        <v>9501.232390000001</v>
      </c>
      <c r="I99" s="129">
        <f>4297.87009</f>
        <v>4297.8700900000003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173.44936</f>
        <v>173.44936000000001</v>
      </c>
      <c r="G100" s="129">
        <f>2585.7615</f>
        <v>2585.7615000000001</v>
      </c>
      <c r="H100" s="129">
        <f t="shared" si="8"/>
        <v>5390.8384999999998</v>
      </c>
      <c r="I100" s="129">
        <f>2728.39787</f>
        <v>2728.3978699999998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170.26589</f>
        <v>170.26589000000001</v>
      </c>
      <c r="G101" s="134">
        <f>3995.52176</f>
        <v>3995.5217600000001</v>
      </c>
      <c r="H101" s="134">
        <f t="shared" si="8"/>
        <v>6395.4782400000004</v>
      </c>
      <c r="I101" s="134">
        <f>4053.97518</f>
        <v>4053.9751799999999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21.37496</f>
        <v>21.374960000000002</v>
      </c>
      <c r="G102" s="77">
        <f>1120.33663</f>
        <v>1120.33663</v>
      </c>
      <c r="H102" s="77">
        <f t="shared" si="8"/>
        <v>3497.6633700000002</v>
      </c>
      <c r="I102" s="77">
        <f>844.71391</f>
        <v>844.71391000000006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0.0847</f>
        <v>8.4699999999999998E-2</v>
      </c>
      <c r="G103" s="100">
        <f>11.24867</f>
        <v>11.248670000000001</v>
      </c>
      <c r="H103" s="100">
        <f t="shared" si="8"/>
        <v>308.75133</v>
      </c>
      <c r="I103" s="100">
        <f>21.9778</f>
        <v>21.977799999999998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0.28006</f>
        <v>0.28005999999999998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876.58203000000015</v>
      </c>
      <c r="G107" s="78">
        <f t="shared" si="9"/>
        <v>53596.053859999985</v>
      </c>
      <c r="H107" s="78">
        <f t="shared" si="9"/>
        <v>41372.946140000015</v>
      </c>
      <c r="I107" s="78">
        <f t="shared" si="9"/>
        <v>52129.03211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145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1006.94948</v>
      </c>
      <c r="G128" s="11">
        <f t="shared" si="10"/>
        <v>32768.70723</v>
      </c>
      <c r="H128" s="11">
        <f t="shared" si="10"/>
        <v>37772.29277</v>
      </c>
      <c r="I128" s="11">
        <f t="shared" si="10"/>
        <v>32266.035619999999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1006.94948</f>
        <v>1006.94948</v>
      </c>
      <c r="G129" s="23">
        <f>28388.97145</f>
        <v>28388.971450000001</v>
      </c>
      <c r="H129" s="23">
        <f>E129-G129</f>
        <v>27703.028549999999</v>
      </c>
      <c r="I129" s="23">
        <f>26639.20641</f>
        <v>26639.206409999999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4379.73578</f>
        <v>4379.73578</v>
      </c>
      <c r="H130" s="23">
        <f>E130-G130</f>
        <v>9569.2642200000009</v>
      </c>
      <c r="I130" s="23">
        <f>5626.82921</f>
        <v>5626.8292099999999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1130.7856</f>
        <v>1130.7855999999999</v>
      </c>
      <c r="G132" s="97">
        <f>4583.87693+1364.860645</f>
        <v>5948.7375750000001</v>
      </c>
      <c r="H132" s="97">
        <f>E132-G132</f>
        <v>43223.262425000001</v>
      </c>
      <c r="I132" s="97">
        <f>2727.91938</f>
        <v>2727.9193799999998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648.82771000000002</v>
      </c>
      <c r="G133" s="96">
        <f t="shared" ref="G133" si="11">G134+G139+G142</f>
        <v>41643.067795000003</v>
      </c>
      <c r="H133" s="96">
        <f>H134+H139+H142</f>
        <v>39296.932205000005</v>
      </c>
      <c r="I133" s="96">
        <f>I134+I139+I142</f>
        <v>38124.76320999999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388.34835999999996</v>
      </c>
      <c r="G134" s="127">
        <f>G135+G136+G138+G137</f>
        <v>32841.012914999999</v>
      </c>
      <c r="H134" s="127">
        <f>H135+H136+H137+H138</f>
        <v>26662.987085000001</v>
      </c>
      <c r="I134" s="127">
        <f>I135+I136+I137+I138</f>
        <v>30307.188969999996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137.9698</f>
        <v>137.96979999999999</v>
      </c>
      <c r="G135" s="129">
        <v>5390.52214</v>
      </c>
      <c r="H135" s="129">
        <f>E135-G135</f>
        <v>12113.477859999999</v>
      </c>
      <c r="I135" s="129">
        <f>4212.55282</f>
        <v>4212.5528199999999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65.93342</f>
        <v>65.933419999999998</v>
      </c>
      <c r="G136" s="129">
        <v>9669.0701200000003</v>
      </c>
      <c r="H136" s="129">
        <f>E136-G136</f>
        <v>5414.9298799999997</v>
      </c>
      <c r="I136" s="129">
        <f>7540.10645</f>
        <v>7540.1064500000002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80.99723</f>
        <v>80.997230000000002</v>
      </c>
      <c r="G137" s="129">
        <v>8708.2394699999986</v>
      </c>
      <c r="H137" s="129">
        <f>E137-G137</f>
        <v>6314.7605300000014</v>
      </c>
      <c r="I137" s="129">
        <f>9510.69694</f>
        <v>9510.6969399999998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103.44791</f>
        <v>103.44790999999999</v>
      </c>
      <c r="G138" s="129">
        <v>9073.1811849999995</v>
      </c>
      <c r="H138" s="129">
        <f>E138-G138</f>
        <v>2819.8188150000005</v>
      </c>
      <c r="I138" s="129">
        <f>9043.83276</f>
        <v>9043.8327599999993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47.04345</v>
      </c>
      <c r="G139" s="134">
        <f>SUM(G140:G141)</f>
        <v>5870.7431500000002</v>
      </c>
      <c r="H139" s="134">
        <f>H140+H141</f>
        <v>3561.2568500000002</v>
      </c>
      <c r="I139" s="134">
        <f>SUM(I140:I141)</f>
        <v>5427.31466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46.87065</f>
        <v>46.870649999999998</v>
      </c>
      <c r="G140" s="129">
        <f>5749.13872</f>
        <v>5749.1387199999999</v>
      </c>
      <c r="H140" s="129">
        <f t="shared" ref="H140:H147" si="12">E140-G140</f>
        <v>3182.8612800000001</v>
      </c>
      <c r="I140" s="129">
        <f>5330.79785</f>
        <v>5330.7978499999999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0.1728</f>
        <v>0.17280000000000001</v>
      </c>
      <c r="G141" s="129">
        <f>121.60443</f>
        <v>121.60442999999999</v>
      </c>
      <c r="H141" s="129">
        <f t="shared" si="12"/>
        <v>378.39557000000002</v>
      </c>
      <c r="I141" s="129">
        <f>96.51681</f>
        <v>96.516810000000007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213.4359</f>
        <v>213.4359</v>
      </c>
      <c r="G142" s="77">
        <f>2931.31173</f>
        <v>2931.3117299999999</v>
      </c>
      <c r="H142" s="77">
        <f t="shared" si="12"/>
        <v>9072.6882700000006</v>
      </c>
      <c r="I142" s="77">
        <f>2390.25958</f>
        <v>2390.2595799999999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0.01796</f>
        <v>1.796E-2</v>
      </c>
      <c r="G143" s="141">
        <f>21.32725</f>
        <v>21.327249999999999</v>
      </c>
      <c r="H143" s="141">
        <f t="shared" si="12"/>
        <v>115.67275000000001</v>
      </c>
      <c r="I143" s="141">
        <f>21.32237</f>
        <v>21.322369999999999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101.639</f>
        <v>101.639</v>
      </c>
      <c r="G144" s="100">
        <f>101.639</f>
        <v>101.639</v>
      </c>
      <c r="H144" s="100">
        <f t="shared" si="12"/>
        <v>148.36099999999999</v>
      </c>
      <c r="I144" s="100">
        <f>99.527</f>
        <v>99.527000000000001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27.05571</f>
        <v>27.055710000000001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2915.2754600000003</v>
      </c>
      <c r="G150" s="78">
        <f>G128+G132+G133+G143+G144+G145+G146+G147+G148</f>
        <v>82483.47885</v>
      </c>
      <c r="H150" s="78">
        <f>H128+H132+H133+H143+H144+H145+H146+H147+H148</f>
        <v>120751.52115</v>
      </c>
      <c r="I150" s="78">
        <f>I128+I132+I133+I143+I144+I145+I146+I147+I148</f>
        <v>75239.567579999988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7.26982</f>
        <v>7.2698200000000002</v>
      </c>
      <c r="F175" s="274">
        <f>632.78465</f>
        <v>632.78465000000006</v>
      </c>
      <c r="G175" s="45">
        <f>D175-F175-F176</f>
        <v>3967.0462600000005</v>
      </c>
      <c r="H175" s="274">
        <f>471.66471</f>
        <v>471.66471000000001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83.8183</f>
        <v>83.818299999999994</v>
      </c>
      <c r="F176" s="154">
        <f>388.16909</f>
        <v>388.16908999999998</v>
      </c>
      <c r="G176" s="215"/>
      <c r="H176" s="154">
        <f>637.91831</f>
        <v>637.91831000000002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32.42226</f>
        <v>32.422260000000001</v>
      </c>
      <c r="G177" s="174">
        <f>D177-F177</f>
        <v>167.57774000000001</v>
      </c>
      <c r="H177" s="174">
        <f>46.89926</f>
        <v>46.899259999999998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3.9675199999999999</v>
      </c>
      <c r="F178" s="183">
        <f>F179+F180+F181</f>
        <v>30.5792</v>
      </c>
      <c r="G178" s="183">
        <f>D178-F178</f>
        <v>7450.4207999999999</v>
      </c>
      <c r="H178" s="183">
        <f>H179+H180+H181</f>
        <v>38.33182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1.30496</f>
        <v>1.3049599999999999</v>
      </c>
      <c r="F179" s="129">
        <f>10.32044</f>
        <v>10.32044</v>
      </c>
      <c r="G179" s="129"/>
      <c r="H179" s="129">
        <f>3.97776</f>
        <v>3.97776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2.66256</f>
        <v>2.66256</v>
      </c>
      <c r="F180" s="129">
        <f>19.15464</f>
        <v>19.154640000000001</v>
      </c>
      <c r="G180" s="129"/>
      <c r="H180" s="129">
        <f>29.61313</f>
        <v>29.613130000000002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1.10412</f>
        <v>1.10412</v>
      </c>
      <c r="G181" s="194"/>
      <c r="H181" s="194">
        <f>4.74093</f>
        <v>4.7409299999999996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95.055639999999983</v>
      </c>
      <c r="F184" s="196">
        <f>F175+F176+F177+F178+F182+F183</f>
        <v>1083.9551999999999</v>
      </c>
      <c r="G184" s="196">
        <f>D184-F184</f>
        <v>11651.0448</v>
      </c>
      <c r="H184" s="196">
        <f>H175+H176+H177+H178+H182+H183</f>
        <v>1194.8141000000001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9.63354</f>
        <v>9.63354</v>
      </c>
      <c r="F204" s="124">
        <f>8162.10767</f>
        <v>8162.1076700000003</v>
      </c>
      <c r="G204" s="124">
        <f>D204-F204</f>
        <v>35676.892330000002</v>
      </c>
      <c r="H204" s="124">
        <f>4644.6158</f>
        <v>4644.6157999999996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0.0835</f>
        <v>8.3500000000000005E-2</v>
      </c>
      <c r="F205" s="124">
        <f>2.28213</f>
        <v>2.28213</v>
      </c>
      <c r="G205" s="124">
        <f>D205-F205</f>
        <v>97.717870000000005</v>
      </c>
      <c r="H205" s="124">
        <f>20.01776</f>
        <v>20.017759999999999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9.7170400000000008</v>
      </c>
      <c r="F207" s="190">
        <f>SUM(F204:F206)</f>
        <v>8164.3897999999999</v>
      </c>
      <c r="G207" s="190">
        <f>D207-F207</f>
        <v>35816.610200000003</v>
      </c>
      <c r="H207" s="190">
        <f>SUM(H204:H206)</f>
        <v>4664.6335599999993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7.59235</f>
        <v>7.5923499999999997</v>
      </c>
      <c r="F258" s="124">
        <f>169.10056</f>
        <v>169.10056</v>
      </c>
      <c r="G258" s="124">
        <f>D258-F258</f>
        <v>630.89944000000003</v>
      </c>
      <c r="H258" s="124">
        <f>98.74714</f>
        <v>98.747140000000002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15.60518</f>
        <v>15.605180000000001</v>
      </c>
      <c r="F259" s="124">
        <f>495.04736</f>
        <v>495.04736000000003</v>
      </c>
      <c r="G259" s="124">
        <f>D259-F259</f>
        <v>1998.95264</v>
      </c>
      <c r="H259" s="124">
        <f>290.22131</f>
        <v>290.22131000000002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0.2195</f>
        <v>0.2195</v>
      </c>
      <c r="F261" s="168">
        <f>0.41232</f>
        <v>0.41232000000000002</v>
      </c>
      <c r="G261" s="124"/>
      <c r="H261" s="168">
        <f>2.80511</f>
        <v>2.80511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23.41703</v>
      </c>
      <c r="F262" s="190">
        <f>SUM(F258:F261)</f>
        <v>665.19544000000008</v>
      </c>
      <c r="G262" s="190">
        <f>D262-F262</f>
        <v>2633.80456</v>
      </c>
      <c r="H262" s="190">
        <f>H258+H259+H260+H261</f>
        <v>392.69046000000003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58.266779999999997</v>
      </c>
      <c r="G288" s="251">
        <f t="shared" si="14"/>
        <v>3973.6288199999999</v>
      </c>
      <c r="H288" s="251">
        <f>H292+H291+H290+H289</f>
        <v>12128.371180000002</v>
      </c>
      <c r="I288" s="251">
        <f t="shared" si="14"/>
        <v>1743.66579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11.66198</f>
        <v>11.66198</v>
      </c>
      <c r="G289" s="255">
        <f>1910.63297</f>
        <v>1910.6329699999999</v>
      </c>
      <c r="H289" s="255">
        <f t="shared" ref="H289:H293" si="15">E289-G289</f>
        <v>6266.3670300000003</v>
      </c>
      <c r="I289" s="255">
        <f>532.25235</f>
        <v>532.25234999999998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764.7831</f>
        <v>764.78309999999999</v>
      </c>
      <c r="H290" s="255">
        <f t="shared" si="15"/>
        <v>1363.2168999999999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26.6322</f>
        <v>26.632200000000001</v>
      </c>
      <c r="G291" s="255">
        <f>953.83645</f>
        <v>953.83645000000001</v>
      </c>
      <c r="H291" s="255">
        <f t="shared" si="15"/>
        <v>403.16354999999999</v>
      </c>
      <c r="I291" s="255">
        <f>702.53504</f>
        <v>702.53503999999998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19.9726</f>
        <v>19.9726</v>
      </c>
      <c r="G292" s="255">
        <f>344.3763</f>
        <v>344.37630000000001</v>
      </c>
      <c r="H292" s="255">
        <f t="shared" si="15"/>
        <v>4095.6237000000001</v>
      </c>
      <c r="I292" s="255">
        <f>18.4666</f>
        <v>18.4666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760.44906</f>
        <v>760.44906000000003</v>
      </c>
      <c r="G293" s="266">
        <f>3731.45308</f>
        <v>3731.4530800000002</v>
      </c>
      <c r="H293" s="266">
        <f t="shared" si="15"/>
        <v>1768.5469199999998</v>
      </c>
      <c r="I293" s="266">
        <f>2432.63452</f>
        <v>2432.6345200000001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36.207500000000003</v>
      </c>
      <c r="G294" s="267">
        <f>G296+G295</f>
        <v>1694.18409</v>
      </c>
      <c r="H294" s="267">
        <f>E294-G294</f>
        <v>6305.8159100000003</v>
      </c>
      <c r="I294" s="267">
        <f>I296+I295</f>
        <v>1545.0966699999999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746.70325</f>
        <v>746.70325000000003</v>
      </c>
      <c r="H295" s="255"/>
      <c r="I295" s="255">
        <f>891.58649</f>
        <v>891.58649000000003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36.2075</f>
        <v>36.207500000000003</v>
      </c>
      <c r="G296" s="276">
        <f>947.48084</f>
        <v>947.48083999999994</v>
      </c>
      <c r="H296" s="276"/>
      <c r="I296" s="276">
        <f>653.51018</f>
        <v>653.51017999999999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0.3254</f>
        <v>0.32540000000000002</v>
      </c>
      <c r="G298" s="266">
        <f>23.44284</f>
        <v>23.44284</v>
      </c>
      <c r="H298" s="266">
        <f>E298-G298</f>
        <v>-23.44284</v>
      </c>
      <c r="I298" s="266">
        <f>13.53503</f>
        <v>13.535030000000001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855.24874</v>
      </c>
      <c r="G299" s="285">
        <f t="shared" si="16"/>
        <v>9422.7739299999994</v>
      </c>
      <c r="H299" s="285">
        <f>H288+H293+H294+H297+H298</f>
        <v>20189.226070000004</v>
      </c>
      <c r="I299" s="285">
        <f t="shared" si="16"/>
        <v>5735.0913100000007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0</v>
      </c>
      <c r="F321" s="26">
        <f>F323+F322</f>
        <v>2191.7176300000001</v>
      </c>
      <c r="G321" s="87">
        <f>D321-F321</f>
        <v>49.282369999999901</v>
      </c>
      <c r="H321" s="26">
        <f>SUM(H322:H323)</f>
        <v>1387.2783300000001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1708.94713</f>
        <v>1708.94713</v>
      </c>
      <c r="G322" s="208"/>
      <c r="H322" s="207">
        <f>1081.99515</f>
        <v>1081.99515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482.7705</f>
        <v>482.77050000000003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84.018300000000011</v>
      </c>
      <c r="F324" s="26">
        <f>SUM(F325:F326)</f>
        <v>180.82329999999999</v>
      </c>
      <c r="G324" s="87">
        <f>D324-F324</f>
        <v>939.17669999999998</v>
      </c>
      <c r="H324" s="26">
        <f>SUM(H325:H326)</f>
        <v>156.81739999999999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60.3935</f>
        <v>60.393500000000003</v>
      </c>
      <c r="F325" s="30">
        <f>130.2685</f>
        <v>130.26849999999999</v>
      </c>
      <c r="G325" s="99"/>
      <c r="H325" s="30">
        <f>120.7765</f>
        <v>120.7765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23.6248</f>
        <v>23.6248</v>
      </c>
      <c r="F326" s="30">
        <f>50.5548</f>
        <v>50.5548</v>
      </c>
      <c r="G326" s="110"/>
      <c r="H326" s="30">
        <f>36.0409</f>
        <v>36.040900000000001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84.018300000000011</v>
      </c>
      <c r="F331" s="42">
        <f>F321+F324+F327+F330</f>
        <v>2372.5409300000001</v>
      </c>
      <c r="G331" s="43">
        <f>SUM(G321:G330)</f>
        <v>988.45906999999988</v>
      </c>
      <c r="H331" s="42">
        <f>H321+H324+H327+H330</f>
        <v>1544.09573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19&amp;R15.05.2023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2023-05-15T07:43:18Z</dcterms:modified>
</cp:coreProperties>
</file>