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L:\Regulering\Seksjon for fiskeriregulering - NY MAPPE\ameik\Ukesstatistikk\2022\22-38\Inndata\"/>
    </mc:Choice>
  </mc:AlternateContent>
  <xr:revisionPtr revIDLastSave="0" documentId="13_ncr:1_{1F31BD37-201F-4050-B871-8FD8B98F3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_38_2022" sheetId="1" r:id="rId1"/>
  </sheets>
  <definedNames>
    <definedName name="Z_14D440E4_F18A_4F78_9989_38C1B133222D_.wvu.Cols" localSheetId="0" hidden="1">UKE_38_2022!#REF!</definedName>
    <definedName name="Z_14D440E4_F18A_4F78_9989_38C1B133222D_.wvu.PrintArea" localSheetId="0" hidden="1">UKE_38_2022!$B$1:$J$359</definedName>
    <definedName name="Z_14D440E4_F18A_4F78_9989_38C1B133222D_.wvu.Rows" localSheetId="0" hidden="1">UKE_38_2022!#REF!,UKE_38_2022!#REF!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I35" i="1"/>
  <c r="G158" i="1"/>
  <c r="I31" i="1"/>
  <c r="I30" i="1"/>
  <c r="I29" i="1"/>
  <c r="I28" i="1"/>
  <c r="E56" i="1"/>
  <c r="F56" i="1"/>
  <c r="G31" i="1"/>
  <c r="G30" i="1"/>
  <c r="G29" i="1"/>
  <c r="G28" i="1"/>
  <c r="D357" i="1" l="1"/>
  <c r="H355" i="1"/>
  <c r="H353" i="1" s="1"/>
  <c r="F355" i="1"/>
  <c r="E355" i="1"/>
  <c r="E353" i="1" s="1"/>
  <c r="H354" i="1"/>
  <c r="F354" i="1"/>
  <c r="F353" i="1" s="1"/>
  <c r="G353" i="1" s="1"/>
  <c r="E354" i="1"/>
  <c r="H352" i="1"/>
  <c r="F352" i="1"/>
  <c r="E352" i="1"/>
  <c r="E350" i="1" s="1"/>
  <c r="H351" i="1"/>
  <c r="F351" i="1"/>
  <c r="F350" i="1" s="1"/>
  <c r="G350" i="1" s="1"/>
  <c r="E351" i="1"/>
  <c r="H350" i="1"/>
  <c r="H349" i="1"/>
  <c r="H347" i="1" s="1"/>
  <c r="F349" i="1"/>
  <c r="E349" i="1"/>
  <c r="E347" i="1" s="1"/>
  <c r="H348" i="1"/>
  <c r="F348" i="1"/>
  <c r="E348" i="1"/>
  <c r="F347" i="1"/>
  <c r="D325" i="1"/>
  <c r="I324" i="1"/>
  <c r="G324" i="1"/>
  <c r="H324" i="1" s="1"/>
  <c r="F324" i="1"/>
  <c r="I323" i="1"/>
  <c r="G323" i="1"/>
  <c r="H323" i="1" s="1"/>
  <c r="F323" i="1"/>
  <c r="I322" i="1"/>
  <c r="I320" i="1" s="1"/>
  <c r="G322" i="1"/>
  <c r="F322" i="1"/>
  <c r="F320" i="1" s="1"/>
  <c r="I321" i="1"/>
  <c r="G321" i="1"/>
  <c r="F321" i="1"/>
  <c r="G320" i="1"/>
  <c r="H320" i="1" s="1"/>
  <c r="I319" i="1"/>
  <c r="G319" i="1"/>
  <c r="H319" i="1" s="1"/>
  <c r="F319" i="1"/>
  <c r="I318" i="1"/>
  <c r="G318" i="1"/>
  <c r="H318" i="1" s="1"/>
  <c r="F318" i="1"/>
  <c r="I317" i="1"/>
  <c r="G317" i="1"/>
  <c r="H317" i="1" s="1"/>
  <c r="F317" i="1"/>
  <c r="F314" i="1" s="1"/>
  <c r="I316" i="1"/>
  <c r="G316" i="1"/>
  <c r="H316" i="1" s="1"/>
  <c r="F316" i="1"/>
  <c r="I315" i="1"/>
  <c r="G315" i="1"/>
  <c r="H315" i="1" s="1"/>
  <c r="F315" i="1"/>
  <c r="I314" i="1"/>
  <c r="G314" i="1"/>
  <c r="G325" i="1" s="1"/>
  <c r="E314" i="1"/>
  <c r="E325" i="1" s="1"/>
  <c r="D314" i="1"/>
  <c r="H306" i="1"/>
  <c r="F306" i="1"/>
  <c r="D288" i="1"/>
  <c r="H287" i="1"/>
  <c r="F287" i="1"/>
  <c r="E287" i="1"/>
  <c r="H286" i="1"/>
  <c r="F286" i="1"/>
  <c r="G286" i="1" s="1"/>
  <c r="E286" i="1"/>
  <c r="H285" i="1"/>
  <c r="F285" i="1"/>
  <c r="E285" i="1"/>
  <c r="H284" i="1"/>
  <c r="H288" i="1" s="1"/>
  <c r="F284" i="1"/>
  <c r="G284" i="1" s="1"/>
  <c r="E284" i="1"/>
  <c r="E288" i="1" s="1"/>
  <c r="D277" i="1"/>
  <c r="D233" i="1"/>
  <c r="G232" i="1"/>
  <c r="H231" i="1"/>
  <c r="H233" i="1" s="1"/>
  <c r="F231" i="1"/>
  <c r="G231" i="1" s="1"/>
  <c r="E231" i="1"/>
  <c r="H230" i="1"/>
  <c r="G230" i="1"/>
  <c r="F230" i="1"/>
  <c r="F233" i="1" s="1"/>
  <c r="E230" i="1"/>
  <c r="E233" i="1" s="1"/>
  <c r="D210" i="1"/>
  <c r="H208" i="1"/>
  <c r="F208" i="1"/>
  <c r="G208" i="1" s="1"/>
  <c r="E208" i="1"/>
  <c r="H207" i="1"/>
  <c r="F207" i="1"/>
  <c r="E207" i="1"/>
  <c r="H206" i="1"/>
  <c r="F206" i="1"/>
  <c r="E206" i="1"/>
  <c r="H205" i="1"/>
  <c r="H204" i="1" s="1"/>
  <c r="H210" i="1" s="1"/>
  <c r="F205" i="1"/>
  <c r="F204" i="1" s="1"/>
  <c r="G204" i="1" s="1"/>
  <c r="E205" i="1"/>
  <c r="E204" i="1"/>
  <c r="H203" i="1"/>
  <c r="F203" i="1"/>
  <c r="G203" i="1" s="1"/>
  <c r="E203" i="1"/>
  <c r="H202" i="1"/>
  <c r="F202" i="1"/>
  <c r="E202" i="1"/>
  <c r="H201" i="1"/>
  <c r="F201" i="1"/>
  <c r="F210" i="1" s="1"/>
  <c r="G210" i="1" s="1"/>
  <c r="E201" i="1"/>
  <c r="E210" i="1" s="1"/>
  <c r="H174" i="1"/>
  <c r="H173" i="1"/>
  <c r="H172" i="1"/>
  <c r="H171" i="1"/>
  <c r="F171" i="1"/>
  <c r="I170" i="1"/>
  <c r="G170" i="1"/>
  <c r="H170" i="1" s="1"/>
  <c r="F170" i="1"/>
  <c r="I169" i="1"/>
  <c r="G169" i="1"/>
  <c r="H169" i="1" s="1"/>
  <c r="F169" i="1"/>
  <c r="I168" i="1"/>
  <c r="G168" i="1"/>
  <c r="H168" i="1" s="1"/>
  <c r="F168" i="1"/>
  <c r="I167" i="1"/>
  <c r="G167" i="1"/>
  <c r="H167" i="1" s="1"/>
  <c r="H166" i="1"/>
  <c r="H165" i="1" s="1"/>
  <c r="E165" i="1"/>
  <c r="D165" i="1"/>
  <c r="I164" i="1"/>
  <c r="H164" i="1"/>
  <c r="F164" i="1"/>
  <c r="I163" i="1"/>
  <c r="H163" i="1"/>
  <c r="F163" i="1"/>
  <c r="I162" i="1"/>
  <c r="H162" i="1"/>
  <c r="F162" i="1"/>
  <c r="I161" i="1"/>
  <c r="G160" i="1"/>
  <c r="F161" i="1"/>
  <c r="F160" i="1" s="1"/>
  <c r="F159" i="1" s="1"/>
  <c r="I160" i="1"/>
  <c r="E160" i="1"/>
  <c r="E159" i="1" s="1"/>
  <c r="D160" i="1"/>
  <c r="D159" i="1" s="1"/>
  <c r="I159" i="1"/>
  <c r="I158" i="1"/>
  <c r="H158" i="1"/>
  <c r="F158" i="1"/>
  <c r="H157" i="1"/>
  <c r="I156" i="1"/>
  <c r="G156" i="1"/>
  <c r="H156" i="1" s="1"/>
  <c r="F156" i="1"/>
  <c r="I155" i="1"/>
  <c r="G155" i="1"/>
  <c r="H155" i="1" s="1"/>
  <c r="F155" i="1"/>
  <c r="F154" i="1" s="1"/>
  <c r="F176" i="1" s="1"/>
  <c r="I154" i="1"/>
  <c r="I176" i="1" s="1"/>
  <c r="E154" i="1"/>
  <c r="D154" i="1"/>
  <c r="D176" i="1" s="1"/>
  <c r="C152" i="1"/>
  <c r="H132" i="1"/>
  <c r="H131" i="1"/>
  <c r="H129" i="1"/>
  <c r="F129" i="1"/>
  <c r="I128" i="1"/>
  <c r="G128" i="1"/>
  <c r="H128" i="1" s="1"/>
  <c r="F128" i="1"/>
  <c r="I127" i="1"/>
  <c r="H127" i="1"/>
  <c r="G127" i="1"/>
  <c r="F127" i="1"/>
  <c r="I126" i="1"/>
  <c r="G126" i="1"/>
  <c r="H126" i="1" s="1"/>
  <c r="F126" i="1"/>
  <c r="I125" i="1"/>
  <c r="H125" i="1"/>
  <c r="G125" i="1"/>
  <c r="F125" i="1"/>
  <c r="I124" i="1"/>
  <c r="G124" i="1"/>
  <c r="H124" i="1" s="1"/>
  <c r="F124" i="1"/>
  <c r="I123" i="1"/>
  <c r="H123" i="1"/>
  <c r="G123" i="1"/>
  <c r="F123" i="1"/>
  <c r="I122" i="1"/>
  <c r="G122" i="1"/>
  <c r="G121" i="1" s="1"/>
  <c r="G120" i="1" s="1"/>
  <c r="F122" i="1"/>
  <c r="F121" i="1" s="1"/>
  <c r="F120" i="1" s="1"/>
  <c r="I121" i="1"/>
  <c r="E121" i="1"/>
  <c r="E120" i="1" s="1"/>
  <c r="D121" i="1"/>
  <c r="D120" i="1" s="1"/>
  <c r="I120" i="1"/>
  <c r="I119" i="1"/>
  <c r="G119" i="1"/>
  <c r="G117" i="1" s="1"/>
  <c r="G133" i="1" s="1"/>
  <c r="F119" i="1"/>
  <c r="F117" i="1" s="1"/>
  <c r="I118" i="1"/>
  <c r="H118" i="1"/>
  <c r="G118" i="1"/>
  <c r="F118" i="1"/>
  <c r="I117" i="1"/>
  <c r="I133" i="1" s="1"/>
  <c r="E117" i="1"/>
  <c r="D117" i="1"/>
  <c r="D133" i="1" s="1"/>
  <c r="C114" i="1"/>
  <c r="H110" i="1"/>
  <c r="F110" i="1"/>
  <c r="D110" i="1"/>
  <c r="G62" i="1"/>
  <c r="G61" i="1"/>
  <c r="H56" i="1"/>
  <c r="I32" i="1" s="1"/>
  <c r="G56" i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I34" i="1"/>
  <c r="F35" i="1"/>
  <c r="E34" i="1"/>
  <c r="D34" i="1"/>
  <c r="I33" i="1"/>
  <c r="H33" i="1"/>
  <c r="G33" i="1"/>
  <c r="F33" i="1"/>
  <c r="G32" i="1"/>
  <c r="H32" i="1" s="1"/>
  <c r="F32" i="1"/>
  <c r="F27" i="1" s="1"/>
  <c r="H31" i="1"/>
  <c r="F31" i="1"/>
  <c r="H30" i="1"/>
  <c r="F30" i="1"/>
  <c r="H29" i="1"/>
  <c r="F29" i="1"/>
  <c r="F28" i="1"/>
  <c r="E27" i="1"/>
  <c r="D27" i="1"/>
  <c r="E26" i="1"/>
  <c r="D26" i="1"/>
  <c r="I25" i="1"/>
  <c r="G25" i="1"/>
  <c r="H25" i="1" s="1"/>
  <c r="H23" i="1" s="1"/>
  <c r="F25" i="1"/>
  <c r="I24" i="1"/>
  <c r="I23" i="1" s="1"/>
  <c r="H24" i="1"/>
  <c r="G24" i="1"/>
  <c r="G23" i="1" s="1"/>
  <c r="F24" i="1"/>
  <c r="F23" i="1" s="1"/>
  <c r="E23" i="1"/>
  <c r="E45" i="1" s="1"/>
  <c r="D23" i="1"/>
  <c r="D45" i="1" s="1"/>
  <c r="H16" i="1"/>
  <c r="F16" i="1"/>
  <c r="D16" i="1"/>
  <c r="F34" i="1" l="1"/>
  <c r="F26" i="1" s="1"/>
  <c r="F45" i="1" s="1"/>
  <c r="G34" i="1"/>
  <c r="G26" i="1" s="1"/>
  <c r="G45" i="1" s="1"/>
  <c r="G27" i="1"/>
  <c r="E176" i="1"/>
  <c r="H314" i="1"/>
  <c r="H325" i="1" s="1"/>
  <c r="F133" i="1"/>
  <c r="G233" i="1"/>
  <c r="H357" i="1"/>
  <c r="E133" i="1"/>
  <c r="F357" i="1"/>
  <c r="H154" i="1"/>
  <c r="F325" i="1"/>
  <c r="I27" i="1"/>
  <c r="I26" i="1" s="1"/>
  <c r="I45" i="1" s="1"/>
  <c r="I325" i="1"/>
  <c r="E357" i="1"/>
  <c r="F288" i="1"/>
  <c r="G288" i="1" s="1"/>
  <c r="G347" i="1"/>
  <c r="G357" i="1" s="1"/>
  <c r="H35" i="1"/>
  <c r="H119" i="1"/>
  <c r="H117" i="1" s="1"/>
  <c r="H122" i="1"/>
  <c r="H121" i="1" s="1"/>
  <c r="H120" i="1" s="1"/>
  <c r="H161" i="1"/>
  <c r="H160" i="1" s="1"/>
  <c r="H159" i="1" s="1"/>
  <c r="G201" i="1"/>
  <c r="H28" i="1"/>
  <c r="H27" i="1" s="1"/>
  <c r="G154" i="1"/>
  <c r="G176" i="1" s="1"/>
  <c r="H34" i="1" l="1"/>
  <c r="H133" i="1"/>
  <c r="H26" i="1"/>
  <c r="H45" i="1" s="1"/>
  <c r="H176" i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<sst xmlns="http://schemas.openxmlformats.org/spreadsheetml/2006/main" count="333" uniqueCount="150">
  <si>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</si>
  <si>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</si>
  <si>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</si>
  <si>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</si>
  <si>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</si>
  <si>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</si>
  <si>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</si>
  <si>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</si>
  <si>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</si>
  <si>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</si>
  <si>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</si>
  <si>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</si>
  <si>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</si>
  <si>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</si>
  <si>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</si>
  <si>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</si>
  <si>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</si>
  <si>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</si>
  <si>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</si>
  <si>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</si>
  <si>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</si>
  <si>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</si>
  <si>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</si>
  <si>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</si>
  <si>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</si>
  <si>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</si>
  <si>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</si>
  <si>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</si>
  <si>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</si>
  <si>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</si>
  <si>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</si>
  <si>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</si>
  <si>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</si>
  <si>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</si>
  <si>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</si>
  <si>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</si>
  <si>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</si>
  <si>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</si>
  <si>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</si>
  <si>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</si>
  <si>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</si>
  <si>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</si>
  <si>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</si>
  <si>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</si>
  <si>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</si>
  <si>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</si>
  <si>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</si>
  <si>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</si>
  <si>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</si>
  <si>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</si>
  <si>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</si>
  <si>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</si>
  <si>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</si>
  <si>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</si>
  <si>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</si>
  <si>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</si>
  <si>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</si>
  <si>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</si>
  <si>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</si>
  <si>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</si>
  <si>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</si>
  <si>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</si>
  <si>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</si>
  <si>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</si>
  <si>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</si>
  <si>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</si>
  <si>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</si>
  <si>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</si>
  <si>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</si>
  <si>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</si>
  <si>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</si>
  <si>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</si>
  <si>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</si>
  <si>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</si>
  <si>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</si>
  <si>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</si>
  <si>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</si>
  <si>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</si>
  <si>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</si>
  <si>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</si>
  <si>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</si>
  <si>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</si>
  <si>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</si>
  <si>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</si>
  <si>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</si>
  <si>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</si>
  <si>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</si>
  <si>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</si>
  <si>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</si>
  <si>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</si>
  <si>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</si>
  <si>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</si>
  <si>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</si>
  <si>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</si>
  <si>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</si>
  <si>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</si>
  <si>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</si>
  <si>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</si>
  <si>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</si>
  <si>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</si>
  <si>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</si>
  <si>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</si>
  <si>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</si>
  <si>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</si>
  <si>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</si>
  <si>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</si>
  <si>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</si>
  <si>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</si>
  <si>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</si>
  <si>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</si>
  <si>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</si>
  <si>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</si>
  <si>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</si>
  <si>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</si>
  <si>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</si>
  <si>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</si>
  <si>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</si>
  <si>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</si>
  <si>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</si>
  <si>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</si>
  <si>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</si>
  <si>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</si>
  <si>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</si>
  <si>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</si>
  <si>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</si>
  <si>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</si>
  <si>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</si>
  <si>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</si>
  <si>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</si>
  <si>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</si>
  <si>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</si>
  <si>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</si>
  <si>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</si>
  <si>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</si>
  <si>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</si>
  <si>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</si>
  <si>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</si>
  <si>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</si>
  <si>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</si>
  <si>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</si>
  <si>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</si>
  <si>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</si>
  <si>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38</t>
  </si>
  <si>
    <t>FANGST T.O.M UKE 38</t>
  </si>
  <si>
    <t>RESTKVOTER UKE 38</t>
  </si>
  <si>
    <t>FANGST T.O.M UKE 38 2021</t>
  </si>
  <si>
    <r>
      <t xml:space="preserve">3 </t>
    </r>
    <r>
      <rPr>
        <sz val="9"/>
        <color indexed="8"/>
        <rFont val="Calibri"/>
        <family val="2"/>
      </rPr>
      <t>Registrert rekreasjonsfiske utgjør 776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</si>
  <si>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458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</si>
  <si>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5 793 tonn sei med konvensjonelle redskap som belastes notkvoten.</t>
    </r>
  </si>
  <si>
    <r>
      <t xml:space="preserve">2 </t>
    </r>
    <r>
      <rPr>
        <sz val="9"/>
        <color indexed="8"/>
        <rFont val="Calibri"/>
        <family val="2"/>
      </rPr>
      <t>Registrert rekreasjonsfiske utgjør 52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</si>
</sst>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i/>
      <sz val="10"/>
      <color theme="1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0" fontId="1" fillId="0" borderId="4" xfId="0" applyFont="1" applyBorder="1"/>
    <xf numFmtId="1" fontId="8" fillId="0" borderId="22" xfId="0" applyNumberFormat="1" applyFont="1" applyBorder="1" applyAlignment="1">
      <alignment horizontal="right"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48" fillId="0" borderId="12" xfId="0" applyNumberFormat="1" applyFont="1" applyBorder="1" applyAlignment="1">
      <alignment horizontal="right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topLeftCell="A136" zoomScale="85" zoomScaleNormal="85" zoomScaleSheetLayoutView="100" zoomScalePageLayoutView="115" workbookViewId="0">
      <selection activeCell="G159" sqref="G159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5" t="s">
        <v>0</v>
      </c>
      <c r="C2" s="296"/>
      <c r="D2" s="296"/>
      <c r="E2" s="296"/>
      <c r="F2" s="296"/>
      <c r="G2" s="296"/>
      <c r="H2" s="296"/>
      <c r="I2" s="296"/>
      <c r="J2" s="297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8"/>
      <c r="C9" s="299"/>
      <c r="D9" s="299"/>
      <c r="E9" s="299"/>
      <c r="F9" s="299"/>
      <c r="G9" s="299"/>
      <c r="H9" s="299"/>
      <c r="I9" s="299"/>
      <c r="J9" s="300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301" t="s">
        <v>2</v>
      </c>
      <c r="D11" s="302"/>
      <c r="E11" s="301" t="s">
        <v>3</v>
      </c>
      <c r="F11" s="302"/>
      <c r="G11" s="301" t="s">
        <v>4</v>
      </c>
      <c r="H11" s="302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301.02825000000001</v>
      </c>
      <c r="G23" s="28">
        <f t="shared" si="0"/>
        <v>73784.045610000001</v>
      </c>
      <c r="H23" s="11">
        <f t="shared" si="0"/>
        <v>38907.954389999999</v>
      </c>
      <c r="I23" s="11">
        <f t="shared" si="0"/>
        <v>67680.945549999989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294.52125</f>
        <v>294.52125000000001</v>
      </c>
      <c r="G24" s="23">
        <f>73377.90514</f>
        <v>73377.905140000003</v>
      </c>
      <c r="H24" s="23">
        <f>E24-G24</f>
        <v>38521.094859999997</v>
      </c>
      <c r="I24" s="23">
        <f>67334.33785</f>
        <v>67334.337849999996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6.507</f>
        <v>6.5069999999999997</v>
      </c>
      <c r="G25" s="23">
        <f>406.14047</f>
        <v>406.14046999999999</v>
      </c>
      <c r="H25" s="23">
        <f>E25-G25</f>
        <v>386.85953000000001</v>
      </c>
      <c r="I25" s="23">
        <f>346.6077</f>
        <v>346.60770000000002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896.64924999999994</v>
      </c>
      <c r="G26" s="11">
        <f t="shared" si="1"/>
        <v>211900.44720000002</v>
      </c>
      <c r="H26" s="11">
        <f t="shared" si="1"/>
        <v>46115.552800000005</v>
      </c>
      <c r="I26" s="11">
        <f t="shared" si="1"/>
        <v>220050.03938099998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659.74245999999994</v>
      </c>
      <c r="G27" s="136">
        <f t="shared" si="2"/>
        <v>172191.53415000002</v>
      </c>
      <c r="H27" s="136">
        <f t="shared" si="2"/>
        <v>26730.465850000001</v>
      </c>
      <c r="I27" s="136">
        <f t="shared" si="2"/>
        <v>182053.032461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f>78.02532</f>
        <v>78.025319999999994</v>
      </c>
      <c r="G28" s="130">
        <f>43568.1527-F57</f>
        <v>42868.152699999999</v>
      </c>
      <c r="H28" s="130">
        <f t="shared" ref="H28:H40" si="3">E28-G28</f>
        <v>7729.8473000000013</v>
      </c>
      <c r="I28" s="130">
        <f>43909.73021-H57</f>
        <v>42499.730210000002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f>178.97903</f>
        <v>178.97902999999999</v>
      </c>
      <c r="G29" s="130">
        <f>48719.62864-F58</f>
        <v>46715.628640000003</v>
      </c>
      <c r="H29" s="130">
        <f t="shared" si="3"/>
        <v>5377.3713599999974</v>
      </c>
      <c r="I29" s="130">
        <f>52451.32741-H58</f>
        <v>50104.327409999998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f>79.59171</f>
        <v>79.591710000000006</v>
      </c>
      <c r="G30" s="130">
        <f>45989.22913-F59</f>
        <v>44266.22913</v>
      </c>
      <c r="H30" s="130">
        <f t="shared" si="3"/>
        <v>6469.7708700000003</v>
      </c>
      <c r="I30" s="130">
        <f>47425.350129-H59</f>
        <v>43937.350128999999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f>112.1464</f>
        <v>112.1464</v>
      </c>
      <c r="G31" s="130">
        <f>33914.52368-F60</f>
        <v>32923.523679999998</v>
      </c>
      <c r="H31" s="130">
        <f t="shared" si="3"/>
        <v>271.47632000000158</v>
      </c>
      <c r="I31" s="130">
        <f>38266.624712-H60</f>
        <v>36545.624711999997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211</v>
      </c>
      <c r="G32" s="130">
        <f>F56</f>
        <v>5418</v>
      </c>
      <c r="H32" s="130">
        <f t="shared" si="3"/>
        <v>6882</v>
      </c>
      <c r="I32" s="130">
        <f>H56</f>
        <v>8966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184.96286</f>
        <v>184.96286000000001</v>
      </c>
      <c r="G33" s="136">
        <f>18843.13398</f>
        <v>18843.133979999999</v>
      </c>
      <c r="H33" s="136">
        <f t="shared" si="3"/>
        <v>12891.866020000001</v>
      </c>
      <c r="I33" s="136">
        <f>19850.4353899999</f>
        <v>19850.435389999999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51.943930000000002</v>
      </c>
      <c r="G34" s="136">
        <f>G35+G36</f>
        <v>20865.779070000001</v>
      </c>
      <c r="H34" s="136">
        <f t="shared" si="3"/>
        <v>6493.2209299999995</v>
      </c>
      <c r="I34" s="136">
        <f>I35+I36</f>
        <v>18146.571530000001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30.94393</f>
        <v>30.943930000000002</v>
      </c>
      <c r="G35" s="292">
        <f>22540.77907-F61-F62</f>
        <v>20255.779070000001</v>
      </c>
      <c r="H35" s="130">
        <f t="shared" si="3"/>
        <v>5603.2209299999995</v>
      </c>
      <c r="I35" s="130">
        <f>21229.57153-H61-H62</f>
        <v>17020.571530000001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21</v>
      </c>
      <c r="G36" s="74">
        <f>F61</f>
        <v>610</v>
      </c>
      <c r="H36" s="74">
        <f t="shared" si="3"/>
        <v>890</v>
      </c>
      <c r="I36" s="74">
        <f>H61</f>
        <v>1126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2.0715</f>
        <v>2.0714999999999999</v>
      </c>
      <c r="G38" s="102">
        <f>460.91773</f>
        <v>460.91773000000001</v>
      </c>
      <c r="H38" s="102">
        <f t="shared" si="3"/>
        <v>510.08226999999999</v>
      </c>
      <c r="I38" s="102">
        <f>484.9847</f>
        <v>484.98469999999998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4</v>
      </c>
      <c r="G39" s="102">
        <f>F62</f>
        <v>1675</v>
      </c>
      <c r="H39" s="102">
        <f t="shared" si="3"/>
        <v>2152</v>
      </c>
      <c r="I39" s="102">
        <f>H62</f>
        <v>3083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2.35085</f>
        <v>2.3508499999999999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1959.1877</f>
        <v>1959.1876999999999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1206.10285</v>
      </c>
      <c r="G45" s="80">
        <f t="shared" si="4"/>
        <v>295257.71249000006</v>
      </c>
      <c r="H45" s="80">
        <f t="shared" si="4"/>
        <v>90022.225509999975</v>
      </c>
      <c r="I45" s="80">
        <f t="shared" si="4"/>
        <v>301694.97400999995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303" t="s">
        <v>49</v>
      </c>
      <c r="D53" s="303"/>
      <c r="E53" s="303"/>
      <c r="F53" s="303"/>
      <c r="G53" s="303"/>
      <c r="H53" s="303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thickBot="1" x14ac:dyDescent="0.3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304">
        <v>12300</v>
      </c>
      <c r="E56" s="11">
        <f>E57+E58+E59+E60</f>
        <v>211</v>
      </c>
      <c r="F56" s="11">
        <f>F57+F58+F59+F60</f>
        <v>5418</v>
      </c>
      <c r="G56" s="304">
        <f>D56-F56</f>
        <v>6882</v>
      </c>
      <c r="H56" s="11">
        <f>H60+H59+H58+H57</f>
        <v>8966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305"/>
      <c r="E57" s="130">
        <v>44</v>
      </c>
      <c r="F57" s="130">
        <v>700</v>
      </c>
      <c r="G57" s="305"/>
      <c r="H57" s="130">
        <v>1410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305"/>
      <c r="E58" s="130">
        <v>69</v>
      </c>
      <c r="F58" s="130">
        <v>2004</v>
      </c>
      <c r="G58" s="305"/>
      <c r="H58" s="130">
        <v>2347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305"/>
      <c r="E59" s="130">
        <v>62</v>
      </c>
      <c r="F59" s="130">
        <v>1723</v>
      </c>
      <c r="G59" s="305"/>
      <c r="H59" s="130">
        <v>3488</v>
      </c>
      <c r="I59" s="258"/>
      <c r="J59" s="244"/>
    </row>
    <row r="60" spans="1:10" ht="14.1" customHeight="1" thickBot="1" x14ac:dyDescent="0.3">
      <c r="A60" s="101"/>
      <c r="B60" s="24"/>
      <c r="C60" s="91" t="s">
        <v>30</v>
      </c>
      <c r="D60" s="306"/>
      <c r="E60" s="196">
        <v>36</v>
      </c>
      <c r="F60" s="196">
        <v>991</v>
      </c>
      <c r="G60" s="306"/>
      <c r="H60" s="196">
        <v>1721</v>
      </c>
      <c r="I60" s="258"/>
      <c r="J60" s="244"/>
    </row>
    <row r="61" spans="1:10" ht="14.1" customHeight="1" thickBot="1" x14ac:dyDescent="0.3">
      <c r="A61" s="101"/>
      <c r="B61" s="24"/>
      <c r="C61" s="92" t="s">
        <v>52</v>
      </c>
      <c r="D61" s="98">
        <v>1500</v>
      </c>
      <c r="E61" s="98">
        <v>21</v>
      </c>
      <c r="F61" s="98">
        <v>610</v>
      </c>
      <c r="G61" s="98">
        <f>D61-F61</f>
        <v>890</v>
      </c>
      <c r="H61" s="98">
        <v>1126</v>
      </c>
      <c r="I61" s="258"/>
      <c r="J61" s="244"/>
    </row>
    <row r="62" spans="1:10" ht="14.1" customHeight="1" thickBot="1" x14ac:dyDescent="0.3">
      <c r="A62" s="101"/>
      <c r="B62" s="24"/>
      <c r="C62" s="147" t="s">
        <v>53</v>
      </c>
      <c r="D62" s="143">
        <v>3827</v>
      </c>
      <c r="E62" s="143">
        <v>4</v>
      </c>
      <c r="F62" s="143">
        <v>1675</v>
      </c>
      <c r="G62" s="143">
        <f>D62-F62</f>
        <v>2152</v>
      </c>
      <c r="H62" s="143">
        <v>3083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25">
      <c r="A67" s="1" t="s">
        <v>141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25"/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100000000000001" customHeight="1" x14ac:dyDescent="0.25">
      <c r="B92" s="1" t="s">
        <v>141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25"/>
    <row r="98" spans="1:10" ht="57" customHeight="1" x14ac:dyDescent="0.25"/>
    <row r="103" spans="1:10" ht="17.100000000000001" customHeight="1" x14ac:dyDescent="0.25">
      <c r="B103" s="2"/>
      <c r="C103" s="219" t="s">
        <v>55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25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1" customHeight="1" x14ac:dyDescent="0.25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25">
      <c r="B106" s="54"/>
      <c r="C106" s="301" t="s">
        <v>2</v>
      </c>
      <c r="D106" s="302"/>
      <c r="E106" s="301" t="s">
        <v>3</v>
      </c>
      <c r="F106" s="307"/>
      <c r="G106" s="301" t="s">
        <v>4</v>
      </c>
      <c r="H106" s="302"/>
      <c r="I106" s="183"/>
      <c r="J106" s="244"/>
    </row>
    <row r="107" spans="1:10" ht="15" customHeight="1" x14ac:dyDescent="0.25">
      <c r="B107" s="254"/>
      <c r="C107" s="118" t="s">
        <v>7</v>
      </c>
      <c r="D107" s="120">
        <v>88130</v>
      </c>
      <c r="E107" s="259" t="s">
        <v>5</v>
      </c>
      <c r="F107" s="117">
        <v>33472</v>
      </c>
      <c r="G107" s="195" t="s">
        <v>6</v>
      </c>
      <c r="H107" s="117">
        <v>9830</v>
      </c>
      <c r="I107" s="183"/>
      <c r="J107" s="244"/>
    </row>
    <row r="108" spans="1:10" ht="15" customHeight="1" x14ac:dyDescent="0.25">
      <c r="B108" s="254"/>
      <c r="C108" s="118" t="s">
        <v>10</v>
      </c>
      <c r="D108" s="120">
        <v>79130</v>
      </c>
      <c r="E108" s="248" t="s">
        <v>8</v>
      </c>
      <c r="F108" s="120">
        <v>54612</v>
      </c>
      <c r="G108" s="195" t="s">
        <v>9</v>
      </c>
      <c r="H108" s="120">
        <v>40413</v>
      </c>
      <c r="I108" s="183"/>
      <c r="J108" s="244"/>
    </row>
    <row r="109" spans="1:10" ht="14.1" customHeight="1" x14ac:dyDescent="0.25">
      <c r="B109" s="254"/>
      <c r="C109" s="118" t="s">
        <v>56</v>
      </c>
      <c r="D109" s="120">
        <v>11272</v>
      </c>
      <c r="E109" s="118" t="s">
        <v>11</v>
      </c>
      <c r="F109" s="120">
        <v>2617</v>
      </c>
      <c r="G109" s="195" t="s">
        <v>12</v>
      </c>
      <c r="H109" s="120">
        <v>4369</v>
      </c>
      <c r="I109" s="183"/>
      <c r="J109" s="244"/>
    </row>
    <row r="110" spans="1:10" ht="12" customHeight="1" x14ac:dyDescent="0.25">
      <c r="B110" s="254"/>
      <c r="C110" s="182" t="s">
        <v>57</v>
      </c>
      <c r="D110" s="194">
        <f>SUM(D107:D109)</f>
        <v>178532</v>
      </c>
      <c r="E110" s="182" t="s">
        <v>16</v>
      </c>
      <c r="F110" s="194">
        <f>SUM(F107:F109)</f>
        <v>90701</v>
      </c>
      <c r="G110" s="182" t="s">
        <v>8</v>
      </c>
      <c r="H110" s="194">
        <f>SUM(H107:H109)</f>
        <v>54612</v>
      </c>
      <c r="I110" s="183"/>
      <c r="J110" s="244"/>
    </row>
    <row r="111" spans="1:10" ht="14.25" customHeight="1" x14ac:dyDescent="0.25">
      <c r="A111" s="1"/>
      <c r="B111" s="254"/>
      <c r="C111" s="101" t="s">
        <v>58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25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1" customHeight="1" x14ac:dyDescent="0.25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25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3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25">
      <c r="A116" s="1"/>
      <c r="B116" s="254"/>
      <c r="C116" s="15" t="s">
        <v>19</v>
      </c>
      <c r="D116" s="113" t="s">
        <v>20</v>
      </c>
      <c r="E116" s="15" t="s">
        <v>59</v>
      </c>
      <c r="F116" s="15" t="s">
        <v>142</v>
      </c>
      <c r="G116" s="15" t="s">
        <v>143</v>
      </c>
      <c r="H116" s="15" t="s">
        <v>144</v>
      </c>
      <c r="I116" s="15" t="s">
        <v>145</v>
      </c>
      <c r="J116" s="123"/>
    </row>
    <row r="117" spans="1:10" ht="14.1" customHeight="1" x14ac:dyDescent="0.25">
      <c r="A117" s="1"/>
      <c r="B117" s="254"/>
      <c r="C117" s="32" t="s">
        <v>22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12.7232</v>
      </c>
      <c r="G117" s="11">
        <f t="shared" si="5"/>
        <v>36440.954359999996</v>
      </c>
      <c r="H117" s="11">
        <f t="shared" si="5"/>
        <v>-3754.954359999997</v>
      </c>
      <c r="I117" s="11">
        <f t="shared" si="5"/>
        <v>43568.263909999994</v>
      </c>
      <c r="J117" s="244"/>
    </row>
    <row r="118" spans="1:10" ht="15" customHeight="1" x14ac:dyDescent="0.25">
      <c r="A118" s="1"/>
      <c r="B118" s="254"/>
      <c r="C118" s="47" t="s">
        <v>23</v>
      </c>
      <c r="D118" s="48">
        <v>32722</v>
      </c>
      <c r="E118" s="23">
        <v>31903</v>
      </c>
      <c r="F118" s="23">
        <f>9.7356</f>
        <v>9.7355999999999998</v>
      </c>
      <c r="G118" s="23">
        <f>35704.7208899999</f>
        <v>35704.720889999997</v>
      </c>
      <c r="H118" s="23">
        <f>E118-G118</f>
        <v>-3801.7208899999969</v>
      </c>
      <c r="I118" s="23">
        <f>42806.48817</f>
        <v>42806.488169999997</v>
      </c>
      <c r="J118" s="244"/>
    </row>
    <row r="119" spans="1:10" ht="14.1" customHeight="1" x14ac:dyDescent="0.25">
      <c r="A119" s="1"/>
      <c r="B119" s="254"/>
      <c r="C119" s="66" t="s">
        <v>24</v>
      </c>
      <c r="D119" s="51">
        <v>750</v>
      </c>
      <c r="E119" s="52">
        <v>783</v>
      </c>
      <c r="F119" s="52">
        <f>2.9876</f>
        <v>2.9876</v>
      </c>
      <c r="G119" s="52">
        <f>736.23347</f>
        <v>736.23347000000001</v>
      </c>
      <c r="H119" s="52">
        <f>E119-G119</f>
        <v>46.766529999999989</v>
      </c>
      <c r="I119" s="52">
        <f>761.77574</f>
        <v>761.77574000000004</v>
      </c>
      <c r="J119" s="244"/>
    </row>
    <row r="120" spans="1:10" ht="15.75" customHeight="1" x14ac:dyDescent="0.25">
      <c r="A120" s="1"/>
      <c r="B120" s="54"/>
      <c r="C120" s="16" t="s">
        <v>25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671.38994000000002</v>
      </c>
      <c r="G120" s="11">
        <f t="shared" si="6"/>
        <v>34152.039929999999</v>
      </c>
      <c r="H120" s="11">
        <f t="shared" si="6"/>
        <v>34057.960070000001</v>
      </c>
      <c r="I120" s="11">
        <f t="shared" si="6"/>
        <v>37225.450270000001</v>
      </c>
      <c r="J120" s="244"/>
    </row>
    <row r="121" spans="1:10" ht="14.1" customHeight="1" x14ac:dyDescent="0.25">
      <c r="A121" s="1"/>
      <c r="B121" s="55"/>
      <c r="C121" s="59" t="s">
        <v>26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532.61669000000006</v>
      </c>
      <c r="G121" s="136">
        <f t="shared" si="7"/>
        <v>26515.925520000001</v>
      </c>
      <c r="H121" s="136">
        <f t="shared" si="7"/>
        <v>24493.074479999999</v>
      </c>
      <c r="I121" s="136">
        <f t="shared" si="7"/>
        <v>29913.369890000002</v>
      </c>
      <c r="J121" s="244"/>
    </row>
    <row r="122" spans="1:10" ht="14.1" customHeight="1" x14ac:dyDescent="0.25">
      <c r="A122" s="202"/>
      <c r="B122" s="186"/>
      <c r="C122" s="64" t="s">
        <v>27</v>
      </c>
      <c r="D122" s="65">
        <v>11327</v>
      </c>
      <c r="E122" s="130">
        <v>13658</v>
      </c>
      <c r="F122" s="130">
        <f>77.92816</f>
        <v>77.928160000000005</v>
      </c>
      <c r="G122" s="130">
        <f>3058.62055</f>
        <v>3058.6205500000001</v>
      </c>
      <c r="H122" s="130">
        <f t="shared" ref="H122:H129" si="8">E122-G122</f>
        <v>10599.37945</v>
      </c>
      <c r="I122" s="130">
        <f>3695.9911</f>
        <v>3695.9911000000002</v>
      </c>
      <c r="J122" s="244"/>
    </row>
    <row r="123" spans="1:10" ht="14.1" customHeight="1" x14ac:dyDescent="0.25">
      <c r="A123" s="202"/>
      <c r="B123" s="186"/>
      <c r="C123" s="64" t="s">
        <v>60</v>
      </c>
      <c r="D123" s="65">
        <v>12171</v>
      </c>
      <c r="E123" s="130">
        <v>14540</v>
      </c>
      <c r="F123" s="130">
        <f>120.88776</f>
        <v>120.88776</v>
      </c>
      <c r="G123" s="130">
        <f>9252.50749</f>
        <v>9252.50749</v>
      </c>
      <c r="H123" s="130">
        <f t="shared" si="8"/>
        <v>5287.49251</v>
      </c>
      <c r="I123" s="130">
        <f>9660.52165</f>
        <v>9660.5216500000006</v>
      </c>
      <c r="J123" s="244"/>
    </row>
    <row r="124" spans="1:10" ht="14.1" customHeight="1" x14ac:dyDescent="0.25">
      <c r="A124" s="202"/>
      <c r="B124" s="186"/>
      <c r="C124" s="64" t="s">
        <v>61</v>
      </c>
      <c r="D124" s="65">
        <v>11356</v>
      </c>
      <c r="E124" s="130">
        <v>13798</v>
      </c>
      <c r="F124" s="130">
        <f>225.64165</f>
        <v>225.64165</v>
      </c>
      <c r="G124" s="130">
        <f>7288.26052</f>
        <v>7288.2605199999998</v>
      </c>
      <c r="H124" s="130">
        <f t="shared" si="8"/>
        <v>6509.7394800000002</v>
      </c>
      <c r="I124" s="130">
        <f>10593.41446</f>
        <v>10593.41446</v>
      </c>
      <c r="J124" s="244"/>
    </row>
    <row r="125" spans="1:10" ht="14.1" customHeight="1" x14ac:dyDescent="0.25">
      <c r="A125" s="202"/>
      <c r="B125" s="186"/>
      <c r="C125" s="64" t="s">
        <v>30</v>
      </c>
      <c r="D125" s="65">
        <v>7436</v>
      </c>
      <c r="E125" s="130">
        <v>9013</v>
      </c>
      <c r="F125" s="130">
        <f>108.15912</f>
        <v>108.15912</v>
      </c>
      <c r="G125" s="130">
        <f>6916.53696</f>
        <v>6916.5369600000004</v>
      </c>
      <c r="H125" s="130">
        <f t="shared" si="8"/>
        <v>2096.4630399999996</v>
      </c>
      <c r="I125" s="130">
        <f>5963.44268</f>
        <v>5963.4426800000001</v>
      </c>
      <c r="J125" s="244"/>
    </row>
    <row r="126" spans="1:10" ht="14.1" customHeight="1" x14ac:dyDescent="0.25">
      <c r="A126" s="202"/>
      <c r="B126" s="186"/>
      <c r="C126" s="59" t="s">
        <v>62</v>
      </c>
      <c r="D126" s="60">
        <v>9830</v>
      </c>
      <c r="E126" s="136">
        <v>11908</v>
      </c>
      <c r="F126" s="136">
        <f>100.7762</f>
        <v>100.7762</v>
      </c>
      <c r="G126" s="136">
        <f>5991.91046</f>
        <v>5991.9104600000001</v>
      </c>
      <c r="H126" s="136">
        <f t="shared" si="8"/>
        <v>5916.0895399999999</v>
      </c>
      <c r="I126" s="136">
        <f>5941.88878</f>
        <v>5941.8887800000002</v>
      </c>
      <c r="J126" s="244"/>
    </row>
    <row r="127" spans="1:10" ht="15.75" customHeight="1" x14ac:dyDescent="0.25">
      <c r="A127" s="1"/>
      <c r="B127" s="55"/>
      <c r="C127" s="38" t="s">
        <v>12</v>
      </c>
      <c r="D127" s="63">
        <v>4369</v>
      </c>
      <c r="E127" s="78">
        <v>5293</v>
      </c>
      <c r="F127" s="78">
        <f>37.99705</f>
        <v>37.997050000000002</v>
      </c>
      <c r="G127" s="78">
        <f>1644.20395</f>
        <v>1644.2039500000001</v>
      </c>
      <c r="H127" s="78">
        <f t="shared" si="8"/>
        <v>3648.7960499999999</v>
      </c>
      <c r="I127" s="78">
        <f>1370.1916</f>
        <v>1370.1916000000001</v>
      </c>
      <c r="J127" s="244"/>
    </row>
    <row r="128" spans="1:10" ht="15.75" customHeight="1" x14ac:dyDescent="0.25">
      <c r="A128" s="1"/>
      <c r="B128" s="55"/>
      <c r="C128" s="76" t="s">
        <v>37</v>
      </c>
      <c r="D128" s="93">
        <v>390</v>
      </c>
      <c r="E128" s="102">
        <v>390</v>
      </c>
      <c r="F128" s="102">
        <f>0</f>
        <v>0</v>
      </c>
      <c r="G128" s="102">
        <f>22.06678</f>
        <v>22.066780000000001</v>
      </c>
      <c r="H128" s="102">
        <f t="shared" si="8"/>
        <v>367.93322000000001</v>
      </c>
      <c r="I128" s="102">
        <f>35.19267</f>
        <v>35.19267</v>
      </c>
      <c r="J128" s="244"/>
    </row>
    <row r="129" spans="1:10" ht="18" customHeight="1" x14ac:dyDescent="0.25">
      <c r="A129" s="1"/>
      <c r="B129" s="254"/>
      <c r="C129" s="76" t="s">
        <v>63</v>
      </c>
      <c r="D129" s="148">
        <v>300</v>
      </c>
      <c r="E129" s="143">
        <v>300</v>
      </c>
      <c r="F129" s="143">
        <f>0.55132</f>
        <v>0.55132000000000003</v>
      </c>
      <c r="G129" s="143">
        <v>300</v>
      </c>
      <c r="H129" s="143">
        <f t="shared" si="8"/>
        <v>0</v>
      </c>
      <c r="I129" s="143">
        <v>300</v>
      </c>
      <c r="J129" s="244"/>
    </row>
    <row r="130" spans="1:10" ht="15.75" customHeight="1" x14ac:dyDescent="0.25">
      <c r="A130" s="1"/>
      <c r="B130" s="254"/>
      <c r="C130" s="96" t="s">
        <v>40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25">
      <c r="A131" s="1"/>
      <c r="B131" s="254"/>
      <c r="C131" s="96" t="s">
        <v>41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25">
      <c r="A132" s="1"/>
      <c r="B132" s="254"/>
      <c r="C132" s="96" t="s">
        <v>64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25">
      <c r="A133" s="1"/>
      <c r="B133" s="254"/>
      <c r="C133" s="77" t="s">
        <v>44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:G133" si="9">F117+F120+F128+F129+F130+F131+F132</f>
        <v>684.66446000000008</v>
      </c>
      <c r="G133" s="80">
        <f t="shared" si="9"/>
        <v>70923.828869999983</v>
      </c>
      <c r="H133" s="80">
        <f>H117+H120+H128+H129+H130+H131+H132</f>
        <v>30712.171130000017</v>
      </c>
      <c r="I133" s="80">
        <f>I117+I120+I128+I129+I130+I131+I132</f>
        <v>81273.550829999993</v>
      </c>
      <c r="J133" s="244"/>
    </row>
    <row r="134" spans="1:10" ht="13.5" customHeight="1" x14ac:dyDescent="0.25">
      <c r="A134" s="1"/>
      <c r="B134" s="254"/>
      <c r="C134" s="81" t="s">
        <v>65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25">
      <c r="A135" s="1"/>
      <c r="B135" s="24"/>
      <c r="C135" s="294" t="s">
        <v>149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25">
      <c r="A136" s="1"/>
      <c r="B136" s="24"/>
      <c r="C136" s="165" t="s">
        <v>66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25">
      <c r="A137" s="1"/>
      <c r="B137" s="24"/>
      <c r="C137" s="228" t="s">
        <v>67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25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25">
      <c r="A139" s="1"/>
      <c r="B139" s="101"/>
      <c r="C139" s="1" t="s">
        <v>141</v>
      </c>
      <c r="D139" s="228"/>
      <c r="E139" s="228"/>
      <c r="F139" s="228"/>
      <c r="G139" s="228"/>
      <c r="H139" s="228"/>
      <c r="I139" s="101"/>
      <c r="J139" s="101" t="s">
        <v>141</v>
      </c>
    </row>
    <row r="140" spans="1:10" ht="14.25" customHeight="1" x14ac:dyDescent="0.25">
      <c r="A140" s="1"/>
      <c r="B140" s="101"/>
      <c r="C140" s="101" t="s">
        <v>141</v>
      </c>
      <c r="D140" s="101" t="s">
        <v>141</v>
      </c>
      <c r="E140" s="101"/>
      <c r="F140" s="101"/>
      <c r="G140" s="101"/>
      <c r="H140" s="101"/>
      <c r="I140" s="101"/>
      <c r="J140" s="101" t="s">
        <v>141</v>
      </c>
    </row>
    <row r="141" spans="1:10" ht="17.100000000000001" customHeight="1" x14ac:dyDescent="0.25">
      <c r="A141" s="218"/>
      <c r="B141" s="218"/>
      <c r="C141" s="219" t="s">
        <v>68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25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1" customHeight="1" x14ac:dyDescent="0.25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25">
      <c r="A144" s="1"/>
      <c r="B144" s="54"/>
      <c r="C144" s="153" t="s">
        <v>2</v>
      </c>
      <c r="D144" s="189"/>
      <c r="E144" s="153" t="s">
        <v>3</v>
      </c>
      <c r="F144" s="189"/>
      <c r="G144" s="153" t="s">
        <v>4</v>
      </c>
      <c r="H144" s="189"/>
      <c r="I144" s="183"/>
      <c r="J144" s="244"/>
    </row>
    <row r="145" spans="1:10" ht="14.1" customHeight="1" x14ac:dyDescent="0.25">
      <c r="A145" s="1"/>
      <c r="B145" s="254"/>
      <c r="C145" s="118" t="s">
        <v>7</v>
      </c>
      <c r="D145" s="120">
        <v>182657</v>
      </c>
      <c r="E145" s="103" t="s">
        <v>5</v>
      </c>
      <c r="F145" s="117">
        <v>66192</v>
      </c>
      <c r="G145" s="118" t="s">
        <v>6</v>
      </c>
      <c r="H145" s="117">
        <v>7478</v>
      </c>
      <c r="I145" s="183"/>
      <c r="J145" s="244"/>
    </row>
    <row r="146" spans="1:10" ht="14.1" customHeight="1" x14ac:dyDescent="0.25">
      <c r="A146" s="1"/>
      <c r="B146" s="254"/>
      <c r="C146" s="118" t="s">
        <v>10</v>
      </c>
      <c r="D146" s="120">
        <v>12705</v>
      </c>
      <c r="E146" s="118" t="s">
        <v>8</v>
      </c>
      <c r="F146" s="120">
        <v>67980</v>
      </c>
      <c r="G146" s="118" t="s">
        <v>9</v>
      </c>
      <c r="H146" s="120">
        <v>50985</v>
      </c>
      <c r="I146" s="183"/>
      <c r="J146" s="244"/>
    </row>
    <row r="147" spans="1:10" ht="14.1" customHeight="1" x14ac:dyDescent="0.25">
      <c r="A147" s="1"/>
      <c r="B147" s="254"/>
      <c r="C147" s="248" t="s">
        <v>69</v>
      </c>
      <c r="D147" s="120">
        <v>1850</v>
      </c>
      <c r="E147" s="118" t="s">
        <v>70</v>
      </c>
      <c r="F147" s="120">
        <v>44724</v>
      </c>
      <c r="G147" s="118" t="s">
        <v>12</v>
      </c>
      <c r="H147" s="120">
        <v>9517</v>
      </c>
      <c r="I147" s="183"/>
      <c r="J147" s="244"/>
    </row>
    <row r="148" spans="1:10" ht="14.1" customHeight="1" x14ac:dyDescent="0.25">
      <c r="A148" s="1"/>
      <c r="B148" s="158"/>
      <c r="C148" s="170"/>
      <c r="D148" s="195"/>
      <c r="E148" s="195" t="s">
        <v>71</v>
      </c>
      <c r="F148" s="120">
        <v>3761</v>
      </c>
      <c r="G148" s="118"/>
      <c r="H148" s="170"/>
      <c r="I148" s="183"/>
      <c r="J148" s="244"/>
    </row>
    <row r="149" spans="1:10" ht="12" customHeight="1" x14ac:dyDescent="0.25">
      <c r="A149" s="1"/>
      <c r="B149" s="254"/>
      <c r="C149" s="182" t="s">
        <v>57</v>
      </c>
      <c r="D149" s="194">
        <v>197212</v>
      </c>
      <c r="E149" s="112" t="s">
        <v>16</v>
      </c>
      <c r="F149" s="194">
        <v>182657</v>
      </c>
      <c r="G149" s="182" t="s">
        <v>8</v>
      </c>
      <c r="H149" s="35">
        <v>67980</v>
      </c>
      <c r="I149" s="183"/>
      <c r="J149" s="244"/>
    </row>
    <row r="150" spans="1:10" ht="12" customHeight="1" x14ac:dyDescent="0.25">
      <c r="A150" s="101"/>
      <c r="B150" s="24"/>
      <c r="C150" s="101" t="s">
        <v>72</v>
      </c>
      <c r="D150" s="101"/>
      <c r="E150" s="101"/>
      <c r="F150" s="101"/>
      <c r="G150" s="101"/>
      <c r="H150" s="101"/>
      <c r="I150" s="101"/>
      <c r="J150" s="157"/>
    </row>
    <row r="151" spans="1:10" ht="17.100000000000001" customHeight="1" x14ac:dyDescent="0.25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25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25">
      <c r="A153" s="161"/>
      <c r="B153" s="54"/>
      <c r="C153" s="264" t="s">
        <v>19</v>
      </c>
      <c r="D153" s="15" t="s">
        <v>20</v>
      </c>
      <c r="E153" s="15" t="s">
        <v>73</v>
      </c>
      <c r="F153" s="15" t="s">
        <v>142</v>
      </c>
      <c r="G153" s="15" t="s">
        <v>143</v>
      </c>
      <c r="H153" s="15" t="s">
        <v>144</v>
      </c>
      <c r="I153" s="15" t="s">
        <v>145</v>
      </c>
      <c r="J153" s="280"/>
    </row>
    <row r="154" spans="1:10" ht="14.1" customHeight="1" x14ac:dyDescent="0.25">
      <c r="A154" s="1"/>
      <c r="B154" s="254"/>
      <c r="C154" s="16" t="s">
        <v>74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569.52315999999996</v>
      </c>
      <c r="G154" s="11">
        <f t="shared" si="10"/>
        <v>48276.264729999995</v>
      </c>
      <c r="H154" s="11">
        <f t="shared" si="10"/>
        <v>13906.735270000001</v>
      </c>
      <c r="I154" s="11">
        <f t="shared" si="10"/>
        <v>48938.246829999996</v>
      </c>
      <c r="J154" s="244"/>
    </row>
    <row r="155" spans="1:10" ht="14.1" customHeight="1" x14ac:dyDescent="0.25">
      <c r="A155" s="1"/>
      <c r="B155" s="254"/>
      <c r="C155" s="47" t="s">
        <v>23</v>
      </c>
      <c r="D155" s="48">
        <v>52954</v>
      </c>
      <c r="E155" s="48">
        <v>49665</v>
      </c>
      <c r="F155" s="23">
        <f>228.52126</f>
        <v>228.52126000000001</v>
      </c>
      <c r="G155" s="23">
        <f>40921.63802</f>
        <v>40921.638019999999</v>
      </c>
      <c r="H155" s="23">
        <f>E155-G155</f>
        <v>8743.3619800000015</v>
      </c>
      <c r="I155" s="23">
        <f>43567.68764</f>
        <v>43567.687639999996</v>
      </c>
      <c r="J155" s="244"/>
    </row>
    <row r="156" spans="1:10" ht="15" customHeight="1" x14ac:dyDescent="0.25">
      <c r="A156" s="1"/>
      <c r="B156" s="254"/>
      <c r="C156" s="47" t="s">
        <v>24</v>
      </c>
      <c r="D156" s="48">
        <v>12738</v>
      </c>
      <c r="E156" s="48">
        <v>12018</v>
      </c>
      <c r="F156" s="23">
        <f>341.0019</f>
        <v>341.00189999999998</v>
      </c>
      <c r="G156" s="23">
        <f>7354.62671</f>
        <v>7354.6267099999995</v>
      </c>
      <c r="H156" s="23">
        <f>E156-G156</f>
        <v>4663.3732900000005</v>
      </c>
      <c r="I156" s="23">
        <f>5370.55919</f>
        <v>5370.5591899999999</v>
      </c>
      <c r="J156" s="244"/>
    </row>
    <row r="157" spans="1:10" ht="13.5" customHeight="1" x14ac:dyDescent="0.25">
      <c r="A157" s="1"/>
      <c r="B157" s="254"/>
      <c r="C157" s="50" t="s">
        <v>75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25">
      <c r="A158" s="70"/>
      <c r="B158" s="82"/>
      <c r="C158" s="92" t="s">
        <v>76</v>
      </c>
      <c r="D158" s="94">
        <v>44724</v>
      </c>
      <c r="E158" s="94">
        <v>49007</v>
      </c>
      <c r="F158" s="98">
        <f>1396.699</f>
        <v>1396.6990000000001</v>
      </c>
      <c r="G158" s="98">
        <f>39482.34548+5792.82</f>
        <v>45275.165480000003</v>
      </c>
      <c r="H158" s="98">
        <f>E158-G158</f>
        <v>3731.8345199999967</v>
      </c>
      <c r="I158" s="98">
        <f>29494.43907</f>
        <v>29494.43907</v>
      </c>
      <c r="J158" s="119"/>
    </row>
    <row r="159" spans="1:10" ht="15.75" customHeight="1" x14ac:dyDescent="0.25">
      <c r="A159" s="1"/>
      <c r="B159" s="254"/>
      <c r="C159" s="147" t="s">
        <v>25</v>
      </c>
      <c r="D159" s="148">
        <f>D160+D165+D168</f>
        <v>69292</v>
      </c>
      <c r="E159" s="148">
        <f>E160+E165+E168</f>
        <v>69774</v>
      </c>
      <c r="F159" s="97">
        <f>F160+F165+F168</f>
        <v>1148.3115399999999</v>
      </c>
      <c r="G159" s="97">
        <v>53312.810499999992</v>
      </c>
      <c r="H159" s="97">
        <f>H160+H165+H168</f>
        <v>16461.189500000004</v>
      </c>
      <c r="I159" s="97">
        <f>I160+I165+I168</f>
        <v>54067.28183</v>
      </c>
      <c r="J159" s="123"/>
    </row>
    <row r="160" spans="1:10" ht="14.1" customHeight="1" x14ac:dyDescent="0.25">
      <c r="A160" s="1"/>
      <c r="B160" s="54"/>
      <c r="C160" s="125" t="s">
        <v>77</v>
      </c>
      <c r="D160" s="126">
        <f>D161+D162+D163+D164</f>
        <v>52297</v>
      </c>
      <c r="E160" s="126">
        <f>E161+E162+E163+E164</f>
        <v>51985</v>
      </c>
      <c r="F160" s="128">
        <f>F161+F162+F163+F164</f>
        <v>915.52887999999996</v>
      </c>
      <c r="G160" s="128">
        <f>G161+G162+G164+G163</f>
        <v>40724.406079999993</v>
      </c>
      <c r="H160" s="128">
        <f>H161+H162+H163+H164</f>
        <v>11260.593920000003</v>
      </c>
      <c r="I160" s="128">
        <f>I161+I162+I163+I164</f>
        <v>41962.612820000002</v>
      </c>
      <c r="J160" s="280"/>
    </row>
    <row r="161" spans="1:10" ht="14.1" customHeight="1" x14ac:dyDescent="0.25">
      <c r="A161" s="202"/>
      <c r="B161" s="129"/>
      <c r="C161" s="64" t="s">
        <v>27</v>
      </c>
      <c r="D161" s="65">
        <v>13881</v>
      </c>
      <c r="E161" s="65">
        <v>15307</v>
      </c>
      <c r="F161" s="130">
        <f>225.99604</f>
        <v>225.99603999999999</v>
      </c>
      <c r="G161" s="130">
        <v>7634.8666599999997</v>
      </c>
      <c r="H161" s="130">
        <f>E161-G161</f>
        <v>7672.1333400000003</v>
      </c>
      <c r="I161" s="130">
        <f>8170.41688</f>
        <v>8170.4168799999998</v>
      </c>
      <c r="J161" s="131"/>
    </row>
    <row r="162" spans="1:10" ht="14.1" customHeight="1" x14ac:dyDescent="0.25">
      <c r="A162" s="202"/>
      <c r="B162" s="186"/>
      <c r="C162" s="64" t="s">
        <v>60</v>
      </c>
      <c r="D162" s="65">
        <v>14224</v>
      </c>
      <c r="E162" s="65">
        <v>12859</v>
      </c>
      <c r="F162" s="130">
        <f>142.38612</f>
        <v>142.38612000000001</v>
      </c>
      <c r="G162" s="130">
        <v>11414.777629999999</v>
      </c>
      <c r="H162" s="130">
        <f>E162-G162</f>
        <v>1444.2223700000013</v>
      </c>
      <c r="I162" s="130">
        <f>10105.71545</f>
        <v>10105.71545</v>
      </c>
      <c r="J162" s="132"/>
    </row>
    <row r="163" spans="1:10" ht="14.1" customHeight="1" x14ac:dyDescent="0.25">
      <c r="A163" s="202"/>
      <c r="B163" s="186"/>
      <c r="C163" s="64" t="s">
        <v>61</v>
      </c>
      <c r="D163" s="65">
        <v>12986</v>
      </c>
      <c r="E163" s="65">
        <v>13695</v>
      </c>
      <c r="F163" s="130">
        <f>234.78712</f>
        <v>234.78711999999999</v>
      </c>
      <c r="G163" s="130">
        <v>10949.092369999998</v>
      </c>
      <c r="H163" s="130">
        <f>E163-G163</f>
        <v>2745.9076300000015</v>
      </c>
      <c r="I163" s="130">
        <f>11228.85271</f>
        <v>11228.852709999999</v>
      </c>
      <c r="J163" s="132"/>
    </row>
    <row r="164" spans="1:10" ht="14.1" customHeight="1" x14ac:dyDescent="0.25">
      <c r="A164" s="202"/>
      <c r="B164" s="186"/>
      <c r="C164" s="64" t="s">
        <v>30</v>
      </c>
      <c r="D164" s="65">
        <v>11206</v>
      </c>
      <c r="E164" s="65">
        <v>10124</v>
      </c>
      <c r="F164" s="130">
        <f>312.3596</f>
        <v>312.3596</v>
      </c>
      <c r="G164" s="130">
        <v>10725.66942</v>
      </c>
      <c r="H164" s="130">
        <f>E164-G164</f>
        <v>-601.66942000000017</v>
      </c>
      <c r="I164" s="130">
        <f>12457.62778</f>
        <v>12457.627780000001</v>
      </c>
      <c r="J164" s="132"/>
    </row>
    <row r="165" spans="1:10" ht="14.1" customHeight="1" x14ac:dyDescent="0.25">
      <c r="A165" s="69"/>
      <c r="B165" s="55"/>
      <c r="C165" s="59" t="s">
        <v>32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1" customHeight="1" x14ac:dyDescent="0.25">
      <c r="A166" s="1"/>
      <c r="B166" s="254"/>
      <c r="C166" s="64" t="s">
        <v>78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1">E166-G166</f>
        <v>1886.8105599999999</v>
      </c>
      <c r="I166" s="130">
        <v>5324.01343</v>
      </c>
      <c r="J166" s="123"/>
    </row>
    <row r="167" spans="1:10" ht="15" customHeight="1" x14ac:dyDescent="0.25">
      <c r="A167" s="1"/>
      <c r="B167" s="55"/>
      <c r="C167" s="64" t="s">
        <v>79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1"/>
        <v>358.57740999999987</v>
      </c>
      <c r="I167" s="130">
        <f>I165-I166</f>
        <v>55.137759999999616</v>
      </c>
      <c r="J167" s="138"/>
    </row>
    <row r="168" spans="1:10" ht="15.75" customHeight="1" x14ac:dyDescent="0.25">
      <c r="A168" s="1"/>
      <c r="B168" s="254"/>
      <c r="C168" s="38" t="s">
        <v>12</v>
      </c>
      <c r="D168" s="63">
        <v>9517</v>
      </c>
      <c r="E168" s="63">
        <v>9535</v>
      </c>
      <c r="F168" s="78">
        <f>222.87501</f>
        <v>222.87501</v>
      </c>
      <c r="G168" s="78">
        <f>6579.79239</f>
        <v>6579.7923899999996</v>
      </c>
      <c r="H168" s="78">
        <f t="shared" si="11"/>
        <v>2955.2076100000004</v>
      </c>
      <c r="I168" s="78">
        <f>6725.51782</f>
        <v>6725.51782</v>
      </c>
      <c r="J168" s="123"/>
    </row>
    <row r="169" spans="1:10" ht="15.75" customHeight="1" x14ac:dyDescent="0.25">
      <c r="A169" s="1"/>
      <c r="B169" s="254"/>
      <c r="C169" s="147" t="s">
        <v>37</v>
      </c>
      <c r="D169" s="148">
        <v>142</v>
      </c>
      <c r="E169" s="148">
        <v>142</v>
      </c>
      <c r="F169" s="143">
        <f>1.05165</f>
        <v>1.05165</v>
      </c>
      <c r="G169" s="143">
        <f>24.47327</f>
        <v>24.473269999999999</v>
      </c>
      <c r="H169" s="143">
        <f t="shared" si="11"/>
        <v>117.52673</v>
      </c>
      <c r="I169" s="143">
        <f>20.98336</f>
        <v>20.983360000000001</v>
      </c>
      <c r="J169" s="123"/>
    </row>
    <row r="170" spans="1:10" ht="15.75" customHeight="1" x14ac:dyDescent="0.25">
      <c r="A170" s="1"/>
      <c r="B170" s="254"/>
      <c r="C170" s="144" t="s">
        <v>80</v>
      </c>
      <c r="D170" s="93">
        <v>250</v>
      </c>
      <c r="E170" s="93">
        <v>250</v>
      </c>
      <c r="F170" s="102">
        <f>0</f>
        <v>0</v>
      </c>
      <c r="G170" s="102">
        <f>306.976</f>
        <v>306.976</v>
      </c>
      <c r="H170" s="102">
        <f t="shared" si="11"/>
        <v>-56.975999999999999</v>
      </c>
      <c r="I170" s="102">
        <f>252.609</f>
        <v>252.60900000000001</v>
      </c>
      <c r="J170" s="123"/>
    </row>
    <row r="171" spans="1:10" ht="18" customHeight="1" x14ac:dyDescent="0.25">
      <c r="A171" s="1"/>
      <c r="B171" s="254"/>
      <c r="C171" s="144" t="s">
        <v>81</v>
      </c>
      <c r="D171" s="148">
        <v>2000</v>
      </c>
      <c r="E171" s="148">
        <v>2000</v>
      </c>
      <c r="F171" s="143">
        <f>6.36148</f>
        <v>6.3614800000000002</v>
      </c>
      <c r="G171" s="143">
        <v>2000</v>
      </c>
      <c r="H171" s="143">
        <f t="shared" si="11"/>
        <v>0</v>
      </c>
      <c r="I171" s="143">
        <v>2000</v>
      </c>
      <c r="J171" s="244"/>
    </row>
    <row r="172" spans="1:10" ht="15.75" customHeight="1" x14ac:dyDescent="0.25">
      <c r="A172" s="1"/>
      <c r="B172" s="254"/>
      <c r="C172" s="147" t="s">
        <v>40</v>
      </c>
      <c r="D172" s="148"/>
      <c r="E172" s="148"/>
      <c r="F172" s="143">
        <v>0</v>
      </c>
      <c r="G172" s="143">
        <v>0</v>
      </c>
      <c r="H172" s="143">
        <f t="shared" si="11"/>
        <v>0</v>
      </c>
      <c r="I172" s="143"/>
      <c r="J172" s="123"/>
    </row>
    <row r="173" spans="1:10" ht="15.75" customHeight="1" x14ac:dyDescent="0.25">
      <c r="A173" s="1"/>
      <c r="B173" s="254"/>
      <c r="C173" s="147" t="s">
        <v>82</v>
      </c>
      <c r="D173" s="148">
        <v>57</v>
      </c>
      <c r="E173" s="148">
        <v>57</v>
      </c>
      <c r="F173" s="143"/>
      <c r="G173" s="143"/>
      <c r="H173" s="143">
        <f t="shared" si="11"/>
        <v>57</v>
      </c>
      <c r="I173" s="143"/>
      <c r="J173" s="123"/>
    </row>
    <row r="174" spans="1:10" ht="15" customHeight="1" x14ac:dyDescent="0.25">
      <c r="A174" s="1"/>
      <c r="B174" s="254"/>
      <c r="C174" s="147" t="s">
        <v>43</v>
      </c>
      <c r="D174" s="150"/>
      <c r="E174" s="148"/>
      <c r="F174" s="143">
        <v>0.8819999999996071</v>
      </c>
      <c r="G174" s="143">
        <v>427.82679999998072</v>
      </c>
      <c r="H174" s="143">
        <f t="shared" si="11"/>
        <v>-427.82679999998072</v>
      </c>
      <c r="I174" s="143">
        <v>433.18270000000484</v>
      </c>
      <c r="J174" s="123"/>
    </row>
    <row r="175" spans="1:10" ht="0" hidden="1" customHeight="1" x14ac:dyDescent="0.25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25">
      <c r="A176" s="161"/>
      <c r="B176" s="54"/>
      <c r="C176" s="162" t="s">
        <v>44</v>
      </c>
      <c r="D176" s="80">
        <f t="shared" ref="D176:E176" si="12">D154+D158+D159+D169+D170+D171+D172+D173+D174</f>
        <v>182657</v>
      </c>
      <c r="E176" s="80">
        <f t="shared" si="12"/>
        <v>183413</v>
      </c>
      <c r="F176" s="80">
        <f>F154+F158+F159+F169+F170+F171+F172+F173+F174</f>
        <v>3122.8288299999995</v>
      </c>
      <c r="G176" s="80">
        <f>G154+G158+G159+G169+G170+G171+G172+G173+G174</f>
        <v>149623.51677999995</v>
      </c>
      <c r="H176" s="80">
        <f>H154+H158+H159+H169+H170+H171+H172+H173+H174</f>
        <v>33789.483220000016</v>
      </c>
      <c r="I176" s="80">
        <f>I154+I158+I159+I169+I170+I171+I172+I173+I174</f>
        <v>135206.74279000002</v>
      </c>
      <c r="J176" s="164"/>
    </row>
    <row r="177" spans="1:10" ht="14.25" customHeight="1" x14ac:dyDescent="0.25">
      <c r="A177" s="161"/>
      <c r="B177" s="54"/>
      <c r="C177" s="165" t="s">
        <v>83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25">
      <c r="A178" s="161"/>
      <c r="B178" s="54"/>
      <c r="C178" s="101" t="s">
        <v>84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25">
      <c r="A179" s="161"/>
      <c r="B179" s="54"/>
      <c r="C179" s="294" t="s">
        <v>148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25">
      <c r="A180" s="161"/>
      <c r="B180" s="54"/>
      <c r="C180" s="293" t="s">
        <v>147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25">
      <c r="A181" s="161"/>
      <c r="B181" s="54"/>
      <c r="C181" s="165" t="s">
        <v>85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25">
      <c r="A182" s="161"/>
      <c r="B182" s="54"/>
      <c r="C182" s="81" t="s">
        <v>86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25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25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25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25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25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25">
      <c r="A188" s="1" t="s">
        <v>141</v>
      </c>
      <c r="B188" s="2"/>
      <c r="C188" s="219" t="s">
        <v>87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25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25">
      <c r="A190" s="1" t="s">
        <v>141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1" customHeight="1" x14ac:dyDescent="0.25">
      <c r="A191" s="1" t="s">
        <v>141</v>
      </c>
      <c r="B191" s="254"/>
      <c r="C191" s="153" t="s">
        <v>2</v>
      </c>
      <c r="D191" s="189"/>
      <c r="E191" s="281"/>
      <c r="F191" s="281"/>
      <c r="G191" s="281"/>
      <c r="H191" s="1"/>
      <c r="I191" s="1"/>
      <c r="J191" s="123"/>
    </row>
    <row r="192" spans="1:10" ht="14.1" customHeight="1" x14ac:dyDescent="0.25">
      <c r="A192" s="1"/>
      <c r="B192" s="254"/>
      <c r="C192" s="182" t="s">
        <v>7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1" customHeight="1" x14ac:dyDescent="0.25">
      <c r="A193" s="1"/>
      <c r="B193" s="254"/>
      <c r="C193" s="182" t="s">
        <v>10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1" customHeight="1" x14ac:dyDescent="0.25">
      <c r="A194" s="1"/>
      <c r="B194" s="254"/>
      <c r="C194" s="182" t="s">
        <v>88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1" customHeight="1" x14ac:dyDescent="0.25">
      <c r="A195" s="1"/>
      <c r="B195" s="254"/>
      <c r="C195" s="182" t="s">
        <v>57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1" customHeight="1" x14ac:dyDescent="0.25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25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25">
      <c r="A198" s="1"/>
      <c r="B198" s="254"/>
      <c r="C198" s="18" t="s">
        <v>18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25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25">
      <c r="A200" s="161"/>
      <c r="B200" s="54"/>
      <c r="C200" s="15" t="s">
        <v>19</v>
      </c>
      <c r="D200" s="180" t="s">
        <v>3</v>
      </c>
      <c r="E200" s="15" t="s">
        <v>142</v>
      </c>
      <c r="F200" s="15" t="s">
        <v>143</v>
      </c>
      <c r="G200" s="56" t="s">
        <v>144</v>
      </c>
      <c r="H200" s="15" t="s">
        <v>145</v>
      </c>
      <c r="I200" s="161"/>
      <c r="J200" s="280"/>
    </row>
    <row r="201" spans="1:10" ht="14.1" customHeight="1" x14ac:dyDescent="0.25">
      <c r="A201" s="1"/>
      <c r="B201" s="254"/>
      <c r="C201" s="145" t="s">
        <v>89</v>
      </c>
      <c r="D201" s="97">
        <v>5082</v>
      </c>
      <c r="E201" s="276">
        <f>20.93568</f>
        <v>20.935680000000001</v>
      </c>
      <c r="F201" s="276">
        <f>1784.82858</f>
        <v>1784.8285800000001</v>
      </c>
      <c r="G201" s="45">
        <f>D201-F201-F202</f>
        <v>1841.7128299999997</v>
      </c>
      <c r="H201" s="276">
        <f>1507.41383</f>
        <v>1507.41383</v>
      </c>
      <c r="I201" s="1"/>
      <c r="J201" s="123"/>
    </row>
    <row r="202" spans="1:10" ht="14.1" customHeight="1" x14ac:dyDescent="0.25">
      <c r="A202" s="1"/>
      <c r="B202" s="254"/>
      <c r="C202" s="141" t="s">
        <v>62</v>
      </c>
      <c r="D202" s="185"/>
      <c r="E202" s="156">
        <f>35.21598</f>
        <v>35.215980000000002</v>
      </c>
      <c r="F202" s="156">
        <f>1455.45859</f>
        <v>1455.45859</v>
      </c>
      <c r="G202" s="217"/>
      <c r="H202" s="156">
        <f>1754.6995</f>
        <v>1754.6994999999999</v>
      </c>
      <c r="I202" s="1"/>
      <c r="J202" s="123"/>
    </row>
    <row r="203" spans="1:10" ht="15.6" customHeight="1" x14ac:dyDescent="0.25">
      <c r="A203" s="1"/>
      <c r="B203" s="254"/>
      <c r="C203" s="173" t="s">
        <v>90</v>
      </c>
      <c r="D203" s="102">
        <v>200</v>
      </c>
      <c r="E203" s="176">
        <f>0.25956</f>
        <v>0.25956000000000001</v>
      </c>
      <c r="F203" s="176">
        <f>50.58874</f>
        <v>50.588740000000001</v>
      </c>
      <c r="G203" s="176">
        <f>D203-F203</f>
        <v>149.41126</v>
      </c>
      <c r="H203" s="176">
        <f>67.35259</f>
        <v>67.352590000000006</v>
      </c>
      <c r="I203" s="1"/>
      <c r="J203" s="123"/>
    </row>
    <row r="204" spans="1:10" ht="14.1" customHeight="1" x14ac:dyDescent="0.25">
      <c r="A204" s="70"/>
      <c r="B204" s="82"/>
      <c r="C204" s="184" t="s">
        <v>91</v>
      </c>
      <c r="D204" s="185">
        <v>7622</v>
      </c>
      <c r="E204" s="185">
        <f>E205+E206+E207</f>
        <v>24.359960000000001</v>
      </c>
      <c r="F204" s="185">
        <f>F205+F206+F207</f>
        <v>7644.4543200000007</v>
      </c>
      <c r="G204" s="185">
        <f>D204-F204</f>
        <v>-22.454320000000735</v>
      </c>
      <c r="H204" s="185">
        <f>H205+H206+H207</f>
        <v>7963.1809999999996</v>
      </c>
      <c r="I204" s="70"/>
      <c r="J204" s="119"/>
    </row>
    <row r="205" spans="1:10" ht="14.1" customHeight="1" x14ac:dyDescent="0.25">
      <c r="A205" s="202"/>
      <c r="B205" s="186"/>
      <c r="C205" s="187" t="s">
        <v>92</v>
      </c>
      <c r="D205" s="130"/>
      <c r="E205" s="130">
        <f>0.72328</f>
        <v>0.72328000000000003</v>
      </c>
      <c r="F205" s="130">
        <f>3938.34262</f>
        <v>3938.3426199999999</v>
      </c>
      <c r="G205" s="130"/>
      <c r="H205" s="130">
        <f>4056.65218</f>
        <v>4056.65218</v>
      </c>
      <c r="I205" s="191"/>
      <c r="J205" s="132"/>
    </row>
    <row r="206" spans="1:10" ht="14.1" customHeight="1" x14ac:dyDescent="0.25">
      <c r="A206" s="202"/>
      <c r="B206" s="186"/>
      <c r="C206" s="187" t="s">
        <v>93</v>
      </c>
      <c r="D206" s="130"/>
      <c r="E206" s="130">
        <f>6.4995</f>
        <v>6.4995000000000003</v>
      </c>
      <c r="F206" s="130">
        <f>2418.91658</f>
        <v>2418.9165800000001</v>
      </c>
      <c r="G206" s="130"/>
      <c r="H206" s="130">
        <f>2437.15961</f>
        <v>2437.1596100000002</v>
      </c>
      <c r="I206" s="191"/>
      <c r="J206" s="192"/>
    </row>
    <row r="207" spans="1:10" ht="14.1" customHeight="1" x14ac:dyDescent="0.25">
      <c r="A207" s="202"/>
      <c r="B207" s="186"/>
      <c r="C207" s="193" t="s">
        <v>94</v>
      </c>
      <c r="D207" s="196"/>
      <c r="E207" s="196">
        <f>17.13718</f>
        <v>17.137180000000001</v>
      </c>
      <c r="F207" s="196">
        <f>1287.19512</f>
        <v>1287.1951200000001</v>
      </c>
      <c r="G207" s="196"/>
      <c r="H207" s="196">
        <f>1469.36921</f>
        <v>1469.3692100000001</v>
      </c>
      <c r="I207" s="191"/>
      <c r="J207" s="192"/>
    </row>
    <row r="208" spans="1:10" ht="14.1" customHeight="1" x14ac:dyDescent="0.25">
      <c r="A208" s="1"/>
      <c r="B208" s="254"/>
      <c r="C208" s="76" t="s">
        <v>95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25">
      <c r="A209" s="1"/>
      <c r="B209" s="254"/>
      <c r="C209" s="96" t="s">
        <v>96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350000000000001" customHeight="1" x14ac:dyDescent="0.25">
      <c r="A210" s="161"/>
      <c r="B210" s="54"/>
      <c r="C210" s="77" t="s">
        <v>44</v>
      </c>
      <c r="D210" s="198">
        <f>D201+D203+D204+D208</f>
        <v>12975</v>
      </c>
      <c r="E210" s="198">
        <f>E201+E202+E203+E204+E208+E209</f>
        <v>80.771180000000015</v>
      </c>
      <c r="F210" s="198">
        <f>F201+F202+F203+F204+F208+F209</f>
        <v>10935.330230000001</v>
      </c>
      <c r="G210" s="198">
        <f>D210-F210</f>
        <v>2039.6697699999986</v>
      </c>
      <c r="H210" s="198">
        <f>H201+H202+H203+H204+H208+H209</f>
        <v>11293.276119999999</v>
      </c>
      <c r="I210" s="167"/>
      <c r="J210" s="164"/>
    </row>
    <row r="211" spans="1:10" ht="42" customHeight="1" x14ac:dyDescent="0.25">
      <c r="A211" s="1"/>
      <c r="B211" s="203"/>
      <c r="C211" s="227" t="s">
        <v>97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25">
      <c r="A212" s="161" t="s">
        <v>141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25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25">
      <c r="A214" s="154" t="s">
        <v>141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35">
      <c r="A215" s="154"/>
      <c r="B215" s="1"/>
      <c r="C215" s="210" t="s">
        <v>98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35">
      <c r="A216" s="154" t="s">
        <v>141</v>
      </c>
      <c r="B216" s="1"/>
      <c r="C216" s="210"/>
      <c r="D216" s="174"/>
      <c r="E216" s="174"/>
      <c r="F216" s="174"/>
      <c r="G216" s="174"/>
      <c r="H216" s="1"/>
      <c r="I216" s="1"/>
      <c r="J216" s="1"/>
    </row>
    <row r="217" spans="1:10" ht="12" customHeight="1" x14ac:dyDescent="0.25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25">
      <c r="A218" s="154"/>
      <c r="B218" s="254"/>
      <c r="C218" s="153" t="s">
        <v>2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25">
      <c r="A219" s="154"/>
      <c r="B219" s="254"/>
      <c r="C219" s="259" t="s">
        <v>99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25">
      <c r="A220" s="154"/>
      <c r="B220" s="254"/>
      <c r="C220" s="248" t="s">
        <v>100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25">
      <c r="A221" s="154"/>
      <c r="B221" s="254"/>
      <c r="C221" s="248" t="s">
        <v>101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25">
      <c r="A222" s="154"/>
      <c r="B222" s="254"/>
      <c r="C222" s="57" t="s">
        <v>57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25">
      <c r="A223" s="1"/>
      <c r="B223" s="254"/>
      <c r="C223" s="101" t="s">
        <v>102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25">
      <c r="A224" s="1"/>
      <c r="B224" s="254"/>
      <c r="C224" s="101" t="s">
        <v>103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25">
      <c r="A225" s="1"/>
      <c r="B225" s="254"/>
      <c r="C225" s="101" t="s">
        <v>104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25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25">
      <c r="A227" s="1"/>
      <c r="B227" s="254"/>
      <c r="C227" s="18" t="s">
        <v>18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25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25">
      <c r="A229" s="1"/>
      <c r="B229" s="254"/>
      <c r="C229" s="68" t="s">
        <v>19</v>
      </c>
      <c r="D229" s="79" t="s">
        <v>3</v>
      </c>
      <c r="E229" s="68" t="s">
        <v>142</v>
      </c>
      <c r="F229" s="68" t="s">
        <v>143</v>
      </c>
      <c r="G229" s="68" t="s">
        <v>144</v>
      </c>
      <c r="H229" s="68" t="s">
        <v>145</v>
      </c>
      <c r="I229" s="1"/>
      <c r="J229" s="123"/>
    </row>
    <row r="230" spans="1:10" ht="15" customHeight="1" x14ac:dyDescent="0.25">
      <c r="A230" s="1"/>
      <c r="B230" s="254"/>
      <c r="C230" s="90" t="s">
        <v>5</v>
      </c>
      <c r="D230" s="124">
        <v>44139</v>
      </c>
      <c r="E230" s="124">
        <f>243.3913</f>
        <v>243.3913</v>
      </c>
      <c r="F230" s="124">
        <f>35292.50165</f>
        <v>35292.501649999998</v>
      </c>
      <c r="G230" s="124">
        <f>D230-F230</f>
        <v>8846.4983500000017</v>
      </c>
      <c r="H230" s="124">
        <f>42413.38826</f>
        <v>42413.38826</v>
      </c>
      <c r="I230" s="248"/>
      <c r="J230" s="123"/>
    </row>
    <row r="231" spans="1:10" ht="15" customHeight="1" x14ac:dyDescent="0.25">
      <c r="A231" s="1"/>
      <c r="B231" s="254"/>
      <c r="C231" s="90" t="s">
        <v>79</v>
      </c>
      <c r="D231" s="124">
        <v>100</v>
      </c>
      <c r="E231" s="124">
        <f>2.1655</f>
        <v>2.1655000000000002</v>
      </c>
      <c r="F231" s="124">
        <f>57.37831</f>
        <v>57.378309999999999</v>
      </c>
      <c r="G231" s="124">
        <f>D231-F231</f>
        <v>42.621690000000001</v>
      </c>
      <c r="H231" s="124">
        <f>29.36475</f>
        <v>29.364750000000001</v>
      </c>
      <c r="I231" s="248"/>
      <c r="J231" s="123"/>
    </row>
    <row r="232" spans="1:10" ht="15.75" customHeight="1" x14ac:dyDescent="0.25">
      <c r="A232" s="1"/>
      <c r="B232" s="254"/>
      <c r="C232" s="146" t="s">
        <v>95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25">
      <c r="A233" s="1"/>
      <c r="B233" s="254"/>
      <c r="C233" s="179" t="s">
        <v>105</v>
      </c>
      <c r="D233" s="190">
        <f>SUM(D230:D232)</f>
        <v>44291</v>
      </c>
      <c r="E233" s="190">
        <f>SUM(E230:E232)</f>
        <v>245.55680000000001</v>
      </c>
      <c r="F233" s="190">
        <f>SUM(F230:F232)</f>
        <v>35349.879959999998</v>
      </c>
      <c r="G233" s="190">
        <f>D233-F233</f>
        <v>8941.1200400000016</v>
      </c>
      <c r="H233" s="190">
        <f>SUM(H230:H232)</f>
        <v>42442.75301</v>
      </c>
      <c r="I233" s="248"/>
      <c r="J233" s="123"/>
    </row>
    <row r="234" spans="1:10" ht="17.100000000000001" customHeight="1" x14ac:dyDescent="0.25">
      <c r="A234" s="1"/>
      <c r="B234" s="169"/>
      <c r="C234" s="201" t="s">
        <v>106</v>
      </c>
      <c r="D234" s="110"/>
      <c r="E234" s="110"/>
      <c r="F234" s="208"/>
      <c r="G234" s="208"/>
      <c r="H234" s="208"/>
      <c r="I234" s="208"/>
      <c r="J234" s="21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100000000000001" customHeight="1" x14ac:dyDescent="0.25">
      <c r="A268" s="1" t="s">
        <v>141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25">
      <c r="A269" s="218"/>
      <c r="B269" s="218"/>
      <c r="C269" s="219" t="s">
        <v>107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25">
      <c r="A270" s="218" t="s">
        <v>141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1" customHeight="1" x14ac:dyDescent="0.25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1" customHeight="1" x14ac:dyDescent="0.25">
      <c r="A272" s="161"/>
      <c r="B272" s="54"/>
      <c r="C272" s="153" t="s">
        <v>2</v>
      </c>
      <c r="D272" s="189"/>
      <c r="E272" s="154"/>
      <c r="F272" s="154"/>
      <c r="G272" s="161"/>
      <c r="H272" s="161"/>
      <c r="I272" s="161"/>
      <c r="J272" s="123"/>
    </row>
    <row r="273" spans="1:10" ht="14.1" customHeight="1" x14ac:dyDescent="0.25">
      <c r="A273" s="1"/>
      <c r="B273" s="254"/>
      <c r="C273" s="259" t="s">
        <v>99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1" customHeight="1" x14ac:dyDescent="0.25">
      <c r="A274" s="1"/>
      <c r="B274" s="254"/>
      <c r="C274" s="248" t="s">
        <v>108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1" customHeight="1" x14ac:dyDescent="0.25">
      <c r="A275" s="1"/>
      <c r="B275" s="254"/>
      <c r="C275" s="248" t="s">
        <v>109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25">
      <c r="A276" s="1"/>
      <c r="B276" s="254"/>
      <c r="C276" s="248" t="s">
        <v>88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25">
      <c r="A277" s="1"/>
      <c r="B277" s="254"/>
      <c r="C277" s="57" t="s">
        <v>57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1" customHeight="1" x14ac:dyDescent="0.25">
      <c r="A278" s="1"/>
      <c r="B278" s="254"/>
      <c r="C278" s="228" t="s">
        <v>110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25">
      <c r="A279" s="1"/>
      <c r="B279" s="254"/>
      <c r="C279" s="101" t="s">
        <v>111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25">
      <c r="A280" s="1"/>
      <c r="B280" s="254"/>
      <c r="C280" s="101" t="s">
        <v>112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25">
      <c r="A281" s="1"/>
      <c r="B281" s="231"/>
      <c r="C281" s="234" t="s">
        <v>18</v>
      </c>
      <c r="D281" s="234"/>
      <c r="E281" s="234"/>
      <c r="F281" s="234"/>
      <c r="G281" s="234"/>
      <c r="H281" s="234"/>
      <c r="I281" s="234"/>
      <c r="J281" s="238"/>
    </row>
    <row r="282" spans="1:10" ht="14.1" customHeight="1" x14ac:dyDescent="0.25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25">
      <c r="A283" s="1"/>
      <c r="B283" s="254"/>
      <c r="C283" s="68" t="s">
        <v>19</v>
      </c>
      <c r="D283" s="243" t="s">
        <v>3</v>
      </c>
      <c r="E283" s="68" t="s">
        <v>142</v>
      </c>
      <c r="F283" s="68" t="s">
        <v>143</v>
      </c>
      <c r="G283" s="68" t="s">
        <v>144</v>
      </c>
      <c r="H283" s="68" t="s">
        <v>145</v>
      </c>
      <c r="I283" s="1"/>
      <c r="J283" s="119"/>
    </row>
    <row r="284" spans="1:10" ht="14.1" customHeight="1" x14ac:dyDescent="0.25">
      <c r="A284" s="70"/>
      <c r="B284" s="82"/>
      <c r="C284" s="90" t="s">
        <v>113</v>
      </c>
      <c r="D284" s="10">
        <v>1865</v>
      </c>
      <c r="E284" s="124">
        <f>4.63002</f>
        <v>4.63002</v>
      </c>
      <c r="F284" s="124">
        <f>288.69636</f>
        <v>288.69636000000003</v>
      </c>
      <c r="G284" s="45">
        <f>D284-F284-F285</f>
        <v>64.158790000000181</v>
      </c>
      <c r="H284" s="124">
        <f>447.4139</f>
        <v>447.41390000000001</v>
      </c>
      <c r="I284" s="70"/>
      <c r="J284" s="244"/>
    </row>
    <row r="285" spans="1:10" ht="14.1" customHeight="1" x14ac:dyDescent="0.25">
      <c r="A285" s="1"/>
      <c r="B285" s="254"/>
      <c r="C285" s="90" t="s">
        <v>114</v>
      </c>
      <c r="D285" s="221"/>
      <c r="E285" s="124">
        <f>41.46861</f>
        <v>41.468609999999998</v>
      </c>
      <c r="F285" s="124">
        <f>1512.14485</f>
        <v>1512.1448499999999</v>
      </c>
      <c r="G285" s="140"/>
      <c r="H285" s="124">
        <f>916.07002</f>
        <v>916.07002</v>
      </c>
      <c r="I285" s="183"/>
      <c r="J285" s="119"/>
    </row>
    <row r="286" spans="1:10" ht="16.5" customHeight="1" x14ac:dyDescent="0.25">
      <c r="A286" s="70"/>
      <c r="B286" s="82"/>
      <c r="C286" s="146" t="s">
        <v>95</v>
      </c>
      <c r="D286" s="246">
        <v>5</v>
      </c>
      <c r="E286" s="168">
        <f>0</f>
        <v>0</v>
      </c>
      <c r="F286" s="168">
        <f>0.9582</f>
        <v>0.95820000000000005</v>
      </c>
      <c r="G286" s="124">
        <f>D286-F286</f>
        <v>4.0418000000000003</v>
      </c>
      <c r="H286" s="168">
        <f>1.389</f>
        <v>1.389</v>
      </c>
      <c r="I286" s="70"/>
      <c r="J286" s="249"/>
    </row>
    <row r="287" spans="1:10" ht="18.75" customHeight="1" x14ac:dyDescent="0.25">
      <c r="A287" s="70"/>
      <c r="B287" s="250"/>
      <c r="C287" s="146" t="s">
        <v>115</v>
      </c>
      <c r="D287" s="222"/>
      <c r="E287" s="168">
        <f>0.0292</f>
        <v>2.92E-2</v>
      </c>
      <c r="F287" s="168">
        <f>6.81196</f>
        <v>6.81196</v>
      </c>
      <c r="G287" s="124"/>
      <c r="H287" s="168">
        <f>2.8077</f>
        <v>2.8077000000000001</v>
      </c>
      <c r="I287" s="284"/>
      <c r="J287" s="123"/>
    </row>
    <row r="288" spans="1:10" ht="14.1" customHeight="1" x14ac:dyDescent="0.25">
      <c r="A288" s="1"/>
      <c r="B288" s="254"/>
      <c r="C288" s="179" t="s">
        <v>105</v>
      </c>
      <c r="D288" s="6">
        <f>D273</f>
        <v>1870</v>
      </c>
      <c r="E288" s="190">
        <f>SUM(E284:E287)</f>
        <v>46.127830000000003</v>
      </c>
      <c r="F288" s="190">
        <f>SUM(F284:F287)</f>
        <v>1808.6113700000001</v>
      </c>
      <c r="G288" s="190">
        <f>D288-F288</f>
        <v>61.388629999999921</v>
      </c>
      <c r="H288" s="190">
        <f>H284+H285+H286+H287</f>
        <v>1367.6806200000001</v>
      </c>
      <c r="I288" s="1"/>
      <c r="J288" s="123"/>
    </row>
    <row r="289" spans="1:10" ht="14.1" customHeight="1" x14ac:dyDescent="0.25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1" customHeight="1" x14ac:dyDescent="0.25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1" customHeight="1" x14ac:dyDescent="0.25">
      <c r="A291" s="1"/>
      <c r="C291" s="154" t="s">
        <v>141</v>
      </c>
    </row>
    <row r="292" spans="1:10" ht="14.1" customHeight="1" x14ac:dyDescent="0.25">
      <c r="A292" s="1" t="s">
        <v>141</v>
      </c>
    </row>
    <row r="293" spans="1:10" ht="14.1" customHeight="1" x14ac:dyDescent="0.25">
      <c r="A293" s="1" t="s">
        <v>141</v>
      </c>
    </row>
    <row r="294" spans="1:10" ht="14.1" customHeight="1" x14ac:dyDescent="0.25">
      <c r="A294" s="1"/>
      <c r="C294" s="154" t="s">
        <v>141</v>
      </c>
    </row>
    <row r="295" spans="1:10" ht="36" customHeight="1" x14ac:dyDescent="0.25">
      <c r="A295" s="1"/>
      <c r="C295" s="154" t="s">
        <v>141</v>
      </c>
    </row>
    <row r="296" spans="1:10" ht="14.1" customHeight="1" x14ac:dyDescent="0.25">
      <c r="A296" s="1"/>
      <c r="C296" s="154" t="s">
        <v>141</v>
      </c>
    </row>
    <row r="297" spans="1:10" ht="14.1" customHeight="1" x14ac:dyDescent="0.25">
      <c r="A297" s="1"/>
      <c r="C297" s="154" t="s">
        <v>141</v>
      </c>
    </row>
    <row r="298" spans="1:10" ht="30" customHeight="1" x14ac:dyDescent="0.35">
      <c r="A298" s="218"/>
      <c r="B298" s="1"/>
      <c r="C298" s="210" t="s">
        <v>116</v>
      </c>
      <c r="D298" s="161"/>
      <c r="E298" s="1"/>
      <c r="F298" s="1"/>
      <c r="G298" s="1"/>
      <c r="H298" s="1"/>
      <c r="I298" s="1"/>
      <c r="J298" s="1"/>
    </row>
    <row r="299" spans="1:10" ht="17.100000000000001" customHeight="1" x14ac:dyDescent="0.25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25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25">
      <c r="B301" s="75"/>
      <c r="C301" s="153" t="s">
        <v>2</v>
      </c>
      <c r="D301" s="189"/>
      <c r="E301" s="153" t="s">
        <v>117</v>
      </c>
      <c r="F301" s="189"/>
      <c r="G301" s="153" t="s">
        <v>118</v>
      </c>
      <c r="H301" s="189"/>
      <c r="I301" s="154"/>
      <c r="J301" s="133"/>
    </row>
    <row r="302" spans="1:10" ht="14.25" customHeight="1" x14ac:dyDescent="0.25">
      <c r="B302" s="75"/>
      <c r="C302" s="259" t="s">
        <v>99</v>
      </c>
      <c r="D302" s="270">
        <v>22619</v>
      </c>
      <c r="E302" s="252" t="s">
        <v>5</v>
      </c>
      <c r="F302" s="106">
        <v>9109</v>
      </c>
      <c r="G302" s="248" t="s">
        <v>23</v>
      </c>
      <c r="H302" s="46">
        <v>3000</v>
      </c>
      <c r="I302" s="154"/>
      <c r="J302" s="133"/>
    </row>
    <row r="303" spans="1:10" ht="14.25" customHeight="1" x14ac:dyDescent="0.25">
      <c r="B303" s="75"/>
      <c r="C303" s="248" t="s">
        <v>109</v>
      </c>
      <c r="D303" s="46">
        <v>16564</v>
      </c>
      <c r="E303" s="183" t="s">
        <v>114</v>
      </c>
      <c r="F303" s="49">
        <v>8000</v>
      </c>
      <c r="G303" s="248" t="s">
        <v>24</v>
      </c>
      <c r="H303" s="46">
        <v>781</v>
      </c>
      <c r="I303" s="154"/>
      <c r="J303" s="133"/>
    </row>
    <row r="304" spans="1:10" ht="14.25" customHeight="1" x14ac:dyDescent="0.25">
      <c r="B304" s="75"/>
      <c r="C304" s="248" t="s">
        <v>108</v>
      </c>
      <c r="D304" s="46">
        <v>5012</v>
      </c>
      <c r="E304" s="183" t="s">
        <v>70</v>
      </c>
      <c r="F304" s="49">
        <v>5500</v>
      </c>
      <c r="G304" s="248" t="s">
        <v>119</v>
      </c>
      <c r="H304" s="46">
        <v>4103</v>
      </c>
      <c r="I304" s="154"/>
      <c r="J304" s="133"/>
    </row>
    <row r="305" spans="1:10" ht="14.1" customHeight="1" x14ac:dyDescent="0.25">
      <c r="B305" s="75"/>
      <c r="C305" s="248"/>
      <c r="D305" s="46"/>
      <c r="E305" s="134"/>
      <c r="F305" s="149"/>
      <c r="G305" s="248" t="s">
        <v>120</v>
      </c>
      <c r="H305" s="46">
        <v>1225</v>
      </c>
      <c r="I305" s="154"/>
      <c r="J305" s="133"/>
    </row>
    <row r="306" spans="1:10" ht="14.1" customHeight="1" x14ac:dyDescent="0.25">
      <c r="B306" s="75"/>
      <c r="C306" s="57" t="s">
        <v>57</v>
      </c>
      <c r="D306" s="35">
        <v>44950</v>
      </c>
      <c r="E306" s="177" t="s">
        <v>121</v>
      </c>
      <c r="F306" s="35">
        <f>F302+F303+F304</f>
        <v>22609</v>
      </c>
      <c r="G306" s="57" t="s">
        <v>5</v>
      </c>
      <c r="H306" s="35">
        <f>SUM(H302:H305)</f>
        <v>9109</v>
      </c>
      <c r="I306" s="154"/>
      <c r="J306" s="133"/>
    </row>
    <row r="307" spans="1:10" ht="13.35" customHeight="1" x14ac:dyDescent="0.25">
      <c r="B307" s="75"/>
      <c r="C307" s="101" t="s">
        <v>122</v>
      </c>
      <c r="D307" s="183"/>
      <c r="E307" s="183"/>
      <c r="F307" s="183"/>
      <c r="G307" s="1"/>
      <c r="H307" s="183"/>
      <c r="I307" s="183"/>
      <c r="J307" s="244"/>
    </row>
    <row r="308" spans="1:10" ht="13.35" customHeight="1" x14ac:dyDescent="0.25">
      <c r="B308" s="75"/>
      <c r="C308" s="101" t="s">
        <v>123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25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25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25">
      <c r="B311" s="231"/>
      <c r="C311" s="234" t="s">
        <v>18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25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25">
      <c r="B313" s="75"/>
      <c r="C313" s="223" t="s">
        <v>19</v>
      </c>
      <c r="D313" s="232" t="s">
        <v>20</v>
      </c>
      <c r="E313" s="68" t="s">
        <v>124</v>
      </c>
      <c r="F313" s="223" t="s">
        <v>142</v>
      </c>
      <c r="G313" s="223" t="s">
        <v>143</v>
      </c>
      <c r="H313" s="223" t="s">
        <v>144</v>
      </c>
      <c r="I313" s="223" t="s">
        <v>145</v>
      </c>
      <c r="J313" s="133"/>
    </row>
    <row r="314" spans="1:10" ht="14.1" customHeight="1" x14ac:dyDescent="0.25">
      <c r="A314" s="218"/>
      <c r="B314" s="75"/>
      <c r="C314" s="247" t="s">
        <v>22</v>
      </c>
      <c r="D314" s="251">
        <f t="shared" ref="D314:I314" si="13">D318+D317+D316+D315</f>
        <v>9109</v>
      </c>
      <c r="E314" s="251">
        <f t="shared" si="13"/>
        <v>12104</v>
      </c>
      <c r="F314" s="253">
        <f t="shared" si="13"/>
        <v>81.483100000000007</v>
      </c>
      <c r="G314" s="253">
        <f t="shared" si="13"/>
        <v>6238.9716600000002</v>
      </c>
      <c r="H314" s="253">
        <f>H318+H317+H316+H315</f>
        <v>5865.0283399999998</v>
      </c>
      <c r="I314" s="253">
        <f t="shared" si="13"/>
        <v>12084.343410000001</v>
      </c>
      <c r="J314" s="133"/>
    </row>
    <row r="315" spans="1:10" ht="14.1" customHeight="1" x14ac:dyDescent="0.25">
      <c r="A315" s="218"/>
      <c r="B315" s="75"/>
      <c r="C315" s="255" t="s">
        <v>125</v>
      </c>
      <c r="D315" s="256">
        <v>3000</v>
      </c>
      <c r="E315" s="256">
        <v>5258</v>
      </c>
      <c r="F315" s="257">
        <f>29.6703</f>
        <v>29.670300000000001</v>
      </c>
      <c r="G315" s="257">
        <f>3647.88627</f>
        <v>3647.88627</v>
      </c>
      <c r="H315" s="257">
        <f t="shared" ref="H315:H319" si="14">E315-G315</f>
        <v>1610.11373</v>
      </c>
      <c r="I315" s="257">
        <f>7437.04877</f>
        <v>7437.0487700000003</v>
      </c>
      <c r="J315" s="133"/>
    </row>
    <row r="316" spans="1:10" ht="14.1" customHeight="1" x14ac:dyDescent="0.25">
      <c r="A316" s="218"/>
      <c r="B316" s="75"/>
      <c r="C316" s="260" t="s">
        <v>24</v>
      </c>
      <c r="D316" s="256">
        <v>781</v>
      </c>
      <c r="E316" s="256">
        <v>1369</v>
      </c>
      <c r="F316" s="257">
        <f>0</f>
        <v>0</v>
      </c>
      <c r="G316" s="257">
        <f>479.0124</f>
        <v>479.01240000000001</v>
      </c>
      <c r="H316" s="257">
        <f t="shared" si="14"/>
        <v>889.98759999999993</v>
      </c>
      <c r="I316" s="257">
        <f>1022.5022</f>
        <v>1022.5022</v>
      </c>
      <c r="J316" s="133"/>
    </row>
    <row r="317" spans="1:10" ht="14.1" customHeight="1" x14ac:dyDescent="0.25">
      <c r="A317" s="218"/>
      <c r="B317" s="75"/>
      <c r="C317" s="260" t="s">
        <v>120</v>
      </c>
      <c r="D317" s="256">
        <v>1225</v>
      </c>
      <c r="E317" s="256">
        <v>1283</v>
      </c>
      <c r="F317" s="257">
        <f>41.1696</f>
        <v>41.169600000000003</v>
      </c>
      <c r="G317" s="257">
        <f>1317.06139</f>
        <v>1317.0613900000001</v>
      </c>
      <c r="H317" s="257">
        <f t="shared" si="14"/>
        <v>-34.061390000000074</v>
      </c>
      <c r="I317" s="257">
        <f>1338.00239</f>
        <v>1338.0023900000001</v>
      </c>
      <c r="J317" s="133"/>
    </row>
    <row r="318" spans="1:10" ht="14.1" customHeight="1" x14ac:dyDescent="0.25">
      <c r="A318" s="218"/>
      <c r="B318" s="75"/>
      <c r="C318" s="262" t="s">
        <v>126</v>
      </c>
      <c r="D318" s="263">
        <v>4103</v>
      </c>
      <c r="E318" s="263">
        <v>4194</v>
      </c>
      <c r="F318" s="257">
        <f>10.6432</f>
        <v>10.6432</v>
      </c>
      <c r="G318" s="257">
        <f>795.0116</f>
        <v>795.01160000000004</v>
      </c>
      <c r="H318" s="257">
        <f t="shared" si="14"/>
        <v>3398.9884000000002</v>
      </c>
      <c r="I318" s="257">
        <f>2286.79005</f>
        <v>2286.7900500000001</v>
      </c>
      <c r="J318" s="133"/>
    </row>
    <row r="319" spans="1:10" ht="14.1" customHeight="1" x14ac:dyDescent="0.25">
      <c r="A319" s="218"/>
      <c r="B319" s="75"/>
      <c r="C319" s="265" t="s">
        <v>70</v>
      </c>
      <c r="D319" s="266">
        <v>5500</v>
      </c>
      <c r="E319" s="266">
        <v>5500</v>
      </c>
      <c r="F319" s="268">
        <f>0.511</f>
        <v>0.51100000000000001</v>
      </c>
      <c r="G319" s="268">
        <f>4547.81168</f>
        <v>4547.8116799999998</v>
      </c>
      <c r="H319" s="268">
        <f t="shared" si="14"/>
        <v>952.1883200000002</v>
      </c>
      <c r="I319" s="268">
        <f>2197.27413</f>
        <v>2197.2741299999998</v>
      </c>
      <c r="J319" s="133"/>
    </row>
    <row r="320" spans="1:10" ht="14.1" customHeight="1" x14ac:dyDescent="0.25">
      <c r="A320" s="218"/>
      <c r="B320" s="75"/>
      <c r="C320" s="247" t="s">
        <v>25</v>
      </c>
      <c r="D320" s="251">
        <v>8000</v>
      </c>
      <c r="E320" s="251">
        <v>8000</v>
      </c>
      <c r="F320" s="269">
        <f>F322+F321</f>
        <v>257.12680999999998</v>
      </c>
      <c r="G320" s="269">
        <f>G322+G321</f>
        <v>3769.3469100000002</v>
      </c>
      <c r="H320" s="269">
        <f>E320-G320</f>
        <v>4230.6530899999998</v>
      </c>
      <c r="I320" s="269">
        <f>I322+I321</f>
        <v>2739.0335699999996</v>
      </c>
      <c r="J320" s="133"/>
    </row>
    <row r="321" spans="1:10" ht="14.1" customHeight="1" x14ac:dyDescent="0.25">
      <c r="A321" s="218"/>
      <c r="B321" s="75"/>
      <c r="C321" s="260" t="s">
        <v>62</v>
      </c>
      <c r="D321" s="271"/>
      <c r="E321" s="256"/>
      <c r="F321" s="257">
        <f>0</f>
        <v>0</v>
      </c>
      <c r="G321" s="257">
        <f>1144.54655</f>
        <v>1144.54655</v>
      </c>
      <c r="H321" s="257"/>
      <c r="I321" s="257">
        <f>12.45243</f>
        <v>12.45243</v>
      </c>
      <c r="J321" s="133"/>
    </row>
    <row r="322" spans="1:10" ht="14.1" customHeight="1" x14ac:dyDescent="0.25">
      <c r="A322" s="218"/>
      <c r="B322" s="75"/>
      <c r="C322" s="273" t="s">
        <v>127</v>
      </c>
      <c r="D322" s="274"/>
      <c r="E322" s="277"/>
      <c r="F322" s="278">
        <f>257.12681</f>
        <v>257.12680999999998</v>
      </c>
      <c r="G322" s="278">
        <f>2624.80036</f>
        <v>2624.8003600000002</v>
      </c>
      <c r="H322" s="278"/>
      <c r="I322" s="278">
        <f>2726.58114</f>
        <v>2726.5811399999998</v>
      </c>
      <c r="J322" s="133"/>
    </row>
    <row r="323" spans="1:10" ht="14.1" customHeight="1" x14ac:dyDescent="0.25">
      <c r="A323" s="218"/>
      <c r="B323" s="75"/>
      <c r="C323" s="265" t="s">
        <v>37</v>
      </c>
      <c r="D323" s="266">
        <v>10</v>
      </c>
      <c r="E323" s="266">
        <v>10</v>
      </c>
      <c r="F323" s="268">
        <f>0</f>
        <v>0</v>
      </c>
      <c r="G323" s="268">
        <f>0.39555</f>
        <v>0.39555000000000001</v>
      </c>
      <c r="H323" s="268">
        <f>E323-G323</f>
        <v>9.6044499999999999</v>
      </c>
      <c r="I323" s="268">
        <f>0.3915</f>
        <v>0.39150000000000001</v>
      </c>
      <c r="J323" s="133"/>
    </row>
    <row r="324" spans="1:10" ht="14.1" customHeight="1" x14ac:dyDescent="0.25">
      <c r="A324" s="218"/>
      <c r="B324" s="75"/>
      <c r="C324" s="279" t="s">
        <v>128</v>
      </c>
      <c r="D324" s="282"/>
      <c r="E324" s="283"/>
      <c r="F324" s="268">
        <f>0.18751</f>
        <v>0.18751000000000001</v>
      </c>
      <c r="G324" s="268">
        <f>235.24816</f>
        <v>235.24816000000001</v>
      </c>
      <c r="H324" s="268">
        <f>E324-G324</f>
        <v>-235.24816000000001</v>
      </c>
      <c r="I324" s="268">
        <f>30.71728</f>
        <v>30.717279999999999</v>
      </c>
      <c r="J324" s="133"/>
    </row>
    <row r="325" spans="1:10" ht="19.5" customHeight="1" x14ac:dyDescent="0.25">
      <c r="A325" s="218"/>
      <c r="B325" s="75"/>
      <c r="C325" s="285" t="s">
        <v>44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5">F314+F319+F320+F323+F324</f>
        <v>339.30841999999996</v>
      </c>
      <c r="G325" s="287">
        <f t="shared" si="15"/>
        <v>14791.773959999999</v>
      </c>
      <c r="H325" s="287">
        <f>H314+H319+H320+H323+H324</f>
        <v>10822.226040000001</v>
      </c>
      <c r="I325" s="287">
        <f t="shared" si="15"/>
        <v>17051.759890000001</v>
      </c>
      <c r="J325" s="133"/>
    </row>
    <row r="326" spans="1:10" ht="14.1" customHeight="1" x14ac:dyDescent="0.25">
      <c r="A326" s="218"/>
      <c r="B326" s="75"/>
      <c r="C326" s="165" t="s">
        <v>129</v>
      </c>
      <c r="D326" s="289"/>
      <c r="E326" s="289"/>
      <c r="F326" s="4"/>
      <c r="G326" s="4"/>
      <c r="H326" s="5"/>
      <c r="I326" s="5"/>
      <c r="J326" s="133"/>
    </row>
    <row r="327" spans="1:10" ht="14.1" customHeight="1" x14ac:dyDescent="0.25">
      <c r="A327" s="218"/>
      <c r="B327" s="75"/>
      <c r="C327" s="101" t="s">
        <v>130</v>
      </c>
      <c r="D327" s="289"/>
      <c r="E327" s="289"/>
      <c r="F327" s="4"/>
      <c r="G327" s="4"/>
      <c r="H327" s="7"/>
      <c r="I327" s="5"/>
      <c r="J327" s="133"/>
    </row>
    <row r="328" spans="1:10" ht="14.1" customHeight="1" x14ac:dyDescent="0.25">
      <c r="A328" s="218"/>
      <c r="B328" s="75"/>
      <c r="C328" s="101" t="s">
        <v>131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25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25">
      <c r="A330" s="218"/>
      <c r="B330" s="154" t="s">
        <v>141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25">
      <c r="A331" s="218"/>
      <c r="B331" s="154" t="s">
        <v>141</v>
      </c>
      <c r="C331" s="14"/>
      <c r="D331" s="1"/>
      <c r="E331" s="1"/>
      <c r="F331" s="1"/>
      <c r="G331" s="1"/>
      <c r="H331" s="1"/>
      <c r="I331" s="1"/>
      <c r="J331" s="154"/>
    </row>
    <row r="332" spans="1:10" ht="14.1" customHeight="1" x14ac:dyDescent="0.25">
      <c r="A332" s="218"/>
      <c r="C332" s="154" t="s">
        <v>141</v>
      </c>
      <c r="D332" s="161"/>
    </row>
    <row r="333" spans="1:10" ht="14.1" customHeight="1" x14ac:dyDescent="0.25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1" customHeight="1" x14ac:dyDescent="0.25">
      <c r="A334" s="218"/>
      <c r="B334" s="75"/>
      <c r="C334" s="219" t="s">
        <v>132</v>
      </c>
      <c r="D334" s="161"/>
      <c r="E334" s="154"/>
      <c r="G334" s="154"/>
      <c r="H334" s="154"/>
      <c r="I334" s="154"/>
      <c r="J334" s="133"/>
    </row>
    <row r="335" spans="1:10" ht="14.1" customHeight="1" x14ac:dyDescent="0.25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1" customHeight="1" x14ac:dyDescent="0.25">
      <c r="A336" s="218"/>
      <c r="B336" s="75"/>
      <c r="C336" s="153" t="s">
        <v>133</v>
      </c>
      <c r="D336" s="189"/>
      <c r="E336" s="154"/>
      <c r="F336" s="154"/>
      <c r="G336" s="154"/>
      <c r="H336" s="154"/>
      <c r="I336" s="154"/>
      <c r="J336" s="133"/>
    </row>
    <row r="337" spans="1:10" ht="14.1" customHeight="1" x14ac:dyDescent="0.25">
      <c r="A337" s="218"/>
      <c r="B337" s="75"/>
      <c r="C337" s="259" t="s">
        <v>99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1" customHeight="1" x14ac:dyDescent="0.25">
      <c r="A338" s="218"/>
      <c r="B338" s="75"/>
      <c r="C338" s="248" t="s">
        <v>109</v>
      </c>
      <c r="D338" s="46">
        <v>3083</v>
      </c>
      <c r="E338" s="154"/>
      <c r="G338" s="154"/>
      <c r="H338" s="154"/>
      <c r="I338" s="154"/>
      <c r="J338" s="133"/>
    </row>
    <row r="339" spans="1:10" ht="14.1" customHeight="1" x14ac:dyDescent="0.25">
      <c r="A339" s="218"/>
      <c r="B339" s="75"/>
      <c r="C339" s="248" t="s">
        <v>88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1" customHeight="1" x14ac:dyDescent="0.25">
      <c r="A340" s="218"/>
      <c r="B340" s="75"/>
      <c r="C340" s="57" t="s">
        <v>57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1" customHeight="1" x14ac:dyDescent="0.25">
      <c r="A341" s="218"/>
      <c r="B341" s="75"/>
      <c r="C341" s="228" t="s">
        <v>134</v>
      </c>
      <c r="D341" s="149"/>
      <c r="E341" s="154"/>
      <c r="F341" s="154"/>
      <c r="G341" s="154"/>
      <c r="H341" s="154"/>
      <c r="I341" s="154"/>
      <c r="J341" s="133"/>
    </row>
    <row r="342" spans="1:10" ht="14.1" customHeight="1" x14ac:dyDescent="0.25">
      <c r="A342" s="218"/>
      <c r="B342" s="75"/>
      <c r="C342" s="101" t="s">
        <v>135</v>
      </c>
      <c r="D342" s="134"/>
      <c r="E342" s="154"/>
      <c r="F342" s="154"/>
      <c r="G342" s="154"/>
      <c r="H342" s="154"/>
      <c r="I342" s="154"/>
      <c r="J342" s="133"/>
    </row>
    <row r="343" spans="1:10" ht="14.1" customHeight="1" x14ac:dyDescent="0.25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1" customHeight="1" x14ac:dyDescent="0.25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25">
      <c r="A345" s="218"/>
      <c r="B345" s="231"/>
      <c r="C345" s="234" t="s">
        <v>18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25">
      <c r="A346" s="218"/>
      <c r="B346" s="203"/>
      <c r="C346" s="20" t="s">
        <v>136</v>
      </c>
      <c r="D346" s="22" t="s">
        <v>137</v>
      </c>
      <c r="E346" s="20" t="s">
        <v>142</v>
      </c>
      <c r="F346" s="20" t="s">
        <v>143</v>
      </c>
      <c r="G346" s="25" t="s">
        <v>144</v>
      </c>
      <c r="H346" s="20" t="s">
        <v>145</v>
      </c>
      <c r="I346" s="224"/>
      <c r="J346" s="13"/>
    </row>
    <row r="347" spans="1:10" ht="14.1" customHeight="1" x14ac:dyDescent="0.25">
      <c r="A347" s="218"/>
      <c r="B347" s="75"/>
      <c r="C347" s="265" t="s">
        <v>138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1" customHeight="1" x14ac:dyDescent="0.25">
      <c r="A348" s="218"/>
      <c r="B348" s="75"/>
      <c r="C348" s="29" t="s">
        <v>9</v>
      </c>
      <c r="D348" s="209"/>
      <c r="E348" s="212">
        <f>0</f>
        <v>0</v>
      </c>
      <c r="F348" s="212">
        <f>1081.99515</f>
        <v>1081.99515</v>
      </c>
      <c r="G348" s="213"/>
      <c r="H348" s="212">
        <f>1503.67411</f>
        <v>1503.6741099999999</v>
      </c>
      <c r="I348" s="154"/>
      <c r="J348" s="133"/>
    </row>
    <row r="349" spans="1:10" ht="14.1" customHeight="1" x14ac:dyDescent="0.25">
      <c r="A349" s="218"/>
      <c r="B349" s="75"/>
      <c r="C349" s="29" t="s">
        <v>12</v>
      </c>
      <c r="D349" s="214"/>
      <c r="E349" s="215">
        <f>0</f>
        <v>0</v>
      </c>
      <c r="F349" s="215">
        <f>304.98618</f>
        <v>304.98617999999999</v>
      </c>
      <c r="G349" s="216"/>
      <c r="H349" s="215">
        <f>306.24755</f>
        <v>306.24754999999999</v>
      </c>
      <c r="I349" s="154"/>
      <c r="J349" s="133"/>
    </row>
    <row r="350" spans="1:10" ht="14.1" customHeight="1" x14ac:dyDescent="0.25">
      <c r="A350" s="218"/>
      <c r="B350" s="75"/>
      <c r="C350" s="265" t="s">
        <v>139</v>
      </c>
      <c r="D350" s="10">
        <v>1560</v>
      </c>
      <c r="E350" s="26">
        <f>SUM(E351:E352)</f>
        <v>0</v>
      </c>
      <c r="F350" s="26">
        <f>SUM(F351:F352)</f>
        <v>1810.1478699999998</v>
      </c>
      <c r="G350" s="88">
        <f>D350-F350</f>
        <v>-250.14786999999978</v>
      </c>
      <c r="H350" s="26">
        <f>SUM(H351:H352)</f>
        <v>1302.9703000000002</v>
      </c>
      <c r="I350" s="27"/>
      <c r="J350" s="133"/>
    </row>
    <row r="351" spans="1:10" ht="14.1" customHeight="1" x14ac:dyDescent="0.25">
      <c r="A351" s="218"/>
      <c r="B351" s="75"/>
      <c r="C351" s="29" t="s">
        <v>9</v>
      </c>
      <c r="D351" s="44"/>
      <c r="E351" s="30">
        <f>0</f>
        <v>0</v>
      </c>
      <c r="F351" s="30">
        <f>1412.5149</f>
        <v>1412.5148999999999</v>
      </c>
      <c r="G351" s="100"/>
      <c r="H351" s="30">
        <f>1057.0956</f>
        <v>1057.0956000000001</v>
      </c>
      <c r="I351" s="154"/>
      <c r="J351" s="133"/>
    </row>
    <row r="352" spans="1:10" ht="14.1" customHeight="1" x14ac:dyDescent="0.25">
      <c r="A352" s="218"/>
      <c r="B352" s="75"/>
      <c r="C352" s="29" t="s">
        <v>12</v>
      </c>
      <c r="D352" s="221"/>
      <c r="E352" s="30">
        <f>0</f>
        <v>0</v>
      </c>
      <c r="F352" s="30">
        <f>397.63297</f>
        <v>397.63297</v>
      </c>
      <c r="G352" s="111"/>
      <c r="H352" s="30">
        <f>245.8747</f>
        <v>245.87469999999999</v>
      </c>
      <c r="I352" s="154"/>
      <c r="J352" s="133"/>
    </row>
    <row r="353" spans="1:10" ht="14.1" customHeight="1" x14ac:dyDescent="0.25">
      <c r="A353" s="218"/>
      <c r="B353" s="75"/>
      <c r="C353" s="265" t="s">
        <v>140</v>
      </c>
      <c r="D353" s="10">
        <v>1560</v>
      </c>
      <c r="E353" s="36">
        <f>SUM(E354:E355)</f>
        <v>80.881920000000008</v>
      </c>
      <c r="F353" s="36">
        <f>SUM(F354:F355)</f>
        <v>311.53771999999998</v>
      </c>
      <c r="G353" s="88">
        <f>D353-F353</f>
        <v>1248.46228</v>
      </c>
      <c r="H353" s="36">
        <f>SUM(H354:H355)</f>
        <v>250.84480000000002</v>
      </c>
      <c r="I353" s="154"/>
      <c r="J353" s="133"/>
    </row>
    <row r="354" spans="1:10" ht="14.1" customHeight="1" x14ac:dyDescent="0.25">
      <c r="A354" s="218"/>
      <c r="B354" s="75"/>
      <c r="C354" s="29" t="s">
        <v>9</v>
      </c>
      <c r="D354" s="44"/>
      <c r="E354" s="30">
        <f>59.7915</f>
        <v>59.791499999999999</v>
      </c>
      <c r="F354" s="30">
        <f>246.82198</f>
        <v>246.82198</v>
      </c>
      <c r="G354" s="100"/>
      <c r="H354" s="30">
        <f>212.5815</f>
        <v>212.58150000000001</v>
      </c>
      <c r="I354" s="154"/>
      <c r="J354" s="133"/>
    </row>
    <row r="355" spans="1:10" ht="14.1" customHeight="1" x14ac:dyDescent="0.25">
      <c r="A355" s="218"/>
      <c r="B355" s="75"/>
      <c r="C355" s="29" t="s">
        <v>12</v>
      </c>
      <c r="D355" s="221"/>
      <c r="E355" s="30">
        <f>21.09042</f>
        <v>21.090420000000002</v>
      </c>
      <c r="F355" s="30">
        <f>64.71574</f>
        <v>64.715739999999997</v>
      </c>
      <c r="G355" s="111"/>
      <c r="H355" s="30">
        <f>38.2633</f>
        <v>38.263300000000001</v>
      </c>
      <c r="I355" s="154"/>
      <c r="J355" s="133"/>
    </row>
    <row r="356" spans="1:10" ht="14.1" customHeight="1" x14ac:dyDescent="0.25">
      <c r="A356" s="218"/>
      <c r="B356" s="75"/>
      <c r="C356" s="279" t="s">
        <v>115</v>
      </c>
      <c r="D356" s="37"/>
      <c r="E356" s="39"/>
      <c r="F356" s="39"/>
      <c r="G356" s="40"/>
      <c r="H356" s="39"/>
      <c r="I356" s="154"/>
      <c r="J356" s="133"/>
    </row>
    <row r="357" spans="1:10" ht="14.1" customHeight="1" x14ac:dyDescent="0.25">
      <c r="A357" s="218"/>
      <c r="B357" s="75"/>
      <c r="C357" s="285" t="s">
        <v>105</v>
      </c>
      <c r="D357" s="41">
        <f>D347+D350+D353</f>
        <v>4506</v>
      </c>
      <c r="E357" s="42">
        <f>E347+E350+E353+E356</f>
        <v>80.881920000000008</v>
      </c>
      <c r="F357" s="42">
        <f>F347+F350+F353+F356</f>
        <v>3508.6669199999997</v>
      </c>
      <c r="G357" s="43">
        <f>SUM(G347:G356)</f>
        <v>997.33308000000011</v>
      </c>
      <c r="H357" s="42">
        <f>H347+H350+H353+H356</f>
        <v>3363.7367599999998</v>
      </c>
      <c r="I357" s="27"/>
      <c r="J357" s="133"/>
    </row>
    <row r="358" spans="1:10" ht="14.1" customHeight="1" x14ac:dyDescent="0.25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1" customHeight="1" x14ac:dyDescent="0.25">
      <c r="A359" s="218"/>
      <c r="B359" s="8"/>
      <c r="C359" s="208"/>
      <c r="D359" s="204"/>
      <c r="E359" s="208"/>
      <c r="F359" s="208"/>
      <c r="G359" s="208"/>
      <c r="H359" s="208"/>
      <c r="I359" s="208"/>
      <c r="J359" s="12"/>
    </row>
    <row r="360" spans="1:10" ht="0" hidden="1" customHeight="1" x14ac:dyDescent="0.25"/>
    <row r="361" spans="1:10" ht="0" hidden="1" customHeight="1" x14ac:dyDescent="0.25"/>
    <row r="362" spans="1:10" ht="0" hidden="1" customHeight="1" x14ac:dyDescent="0.25"/>
    <row r="363" spans="1:10" ht="0" hidden="1" customHeight="1" x14ac:dyDescent="0.25"/>
    <row r="364" spans="1:10" ht="0" hidden="1" customHeight="1" x14ac:dyDescent="0.25"/>
    <row r="365" spans="1:10" ht="0" hidden="1" customHeight="1" x14ac:dyDescent="0.25"/>
    <row r="366" spans="1:10" ht="0" hidden="1" customHeight="1" x14ac:dyDescent="0.25"/>
    <row r="367" spans="1:10" ht="0" hidden="1" customHeight="1" x14ac:dyDescent="0.25"/>
    <row r="368" spans="1:10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16.5" customHeight="1" x14ac:dyDescent="0.25"/>
  </sheetData>
  <mergeCells count="11">
    <mergeCell ref="C53:H53"/>
    <mergeCell ref="D56:D60"/>
    <mergeCell ref="G56:G60"/>
    <mergeCell ref="C106:D106"/>
    <mergeCell ref="E106:F106"/>
    <mergeCell ref="G106:H10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&amp;L&amp;8Fiskeridirektoratet&amp;C&amp;8Reguleringsseksjonen&amp;R&amp;8Alejandro Maldonado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UKE_38_2022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2022-08-03T07:21:44Z</cp:lastPrinted>
  <dcterms:created xsi:type="dcterms:W3CDTF">2022-08-01T13:23:35Z</dcterms:created>
  <dcterms:modified xsi:type="dcterms:W3CDTF">2022-09-28T13:06:14Z</dcterms:modified>
</cp:coreProperties>
</file>