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evgul\Settings\Desktop\"/>
    </mc:Choice>
  </mc:AlternateContent>
  <xr:revisionPtr revIDLastSave="0" documentId="8_{BAA3632F-79BE-4837-92B1-904498C83CCB}" xr6:coauthVersionLast="47" xr6:coauthVersionMax="47" xr10:uidLastSave="{00000000-0000-0000-0000-000000000000}"/>
  <bookViews>
    <workbookView xWindow="2805" yWindow="1275" windowWidth="33195" windowHeight="1849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7" i="1"/>
  <c r="H138" i="1"/>
  <c r="H136" i="1"/>
  <c r="H422" i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G391" i="1"/>
  <c r="I390" i="1"/>
  <c r="G390" i="1"/>
  <c r="H390" i="1" s="1"/>
  <c r="F390" i="1"/>
  <c r="I389" i="1"/>
  <c r="H389" i="1"/>
  <c r="G389" i="1"/>
  <c r="F389" i="1"/>
  <c r="I388" i="1"/>
  <c r="I386" i="1" s="1"/>
  <c r="I391" i="1" s="1"/>
  <c r="G388" i="1"/>
  <c r="F388" i="1"/>
  <c r="I387" i="1"/>
  <c r="G387" i="1"/>
  <c r="F387" i="1"/>
  <c r="F386" i="1" s="1"/>
  <c r="G386" i="1"/>
  <c r="H386" i="1" s="1"/>
  <c r="I385" i="1"/>
  <c r="H385" i="1"/>
  <c r="G385" i="1"/>
  <c r="F385" i="1"/>
  <c r="I384" i="1"/>
  <c r="G384" i="1"/>
  <c r="H384" i="1" s="1"/>
  <c r="F384" i="1"/>
  <c r="I383" i="1"/>
  <c r="H383" i="1"/>
  <c r="G383" i="1"/>
  <c r="F383" i="1"/>
  <c r="F380" i="1" s="1"/>
  <c r="I382" i="1"/>
  <c r="G382" i="1"/>
  <c r="H382" i="1" s="1"/>
  <c r="F382" i="1"/>
  <c r="I381" i="1"/>
  <c r="H381" i="1"/>
  <c r="G381" i="1"/>
  <c r="F381" i="1"/>
  <c r="I380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E354" i="1" s="1"/>
  <c r="H350" i="1"/>
  <c r="F350" i="1"/>
  <c r="F354" i="1" s="1"/>
  <c r="G354" i="1" s="1"/>
  <c r="E350" i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E18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F184" i="1" s="1"/>
  <c r="G184" i="1" s="1"/>
  <c r="E175" i="1"/>
  <c r="D167" i="1"/>
  <c r="D169" i="1" s="1"/>
  <c r="E150" i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H140" i="1"/>
  <c r="G140" i="1"/>
  <c r="G139" i="1" s="1"/>
  <c r="F140" i="1"/>
  <c r="I139" i="1"/>
  <c r="F139" i="1"/>
  <c r="E139" i="1"/>
  <c r="D139" i="1"/>
  <c r="I138" i="1"/>
  <c r="F138" i="1"/>
  <c r="I137" i="1"/>
  <c r="F137" i="1"/>
  <c r="I136" i="1"/>
  <c r="F136" i="1"/>
  <c r="I135" i="1"/>
  <c r="I134" i="1" s="1"/>
  <c r="I133" i="1" s="1"/>
  <c r="H135" i="1"/>
  <c r="F135" i="1"/>
  <c r="F134" i="1" s="1"/>
  <c r="F133" i="1" s="1"/>
  <c r="E134" i="1"/>
  <c r="D134" i="1"/>
  <c r="D133" i="1" s="1"/>
  <c r="E133" i="1"/>
  <c r="I132" i="1"/>
  <c r="H132" i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F128" i="1"/>
  <c r="F150" i="1" s="1"/>
  <c r="E128" i="1"/>
  <c r="D128" i="1"/>
  <c r="D150" i="1" s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I94" i="1"/>
  <c r="G94" i="1"/>
  <c r="G92" i="1" s="1"/>
  <c r="G107" i="1" s="1"/>
  <c r="F94" i="1"/>
  <c r="I93" i="1"/>
  <c r="H93" i="1"/>
  <c r="G93" i="1"/>
  <c r="F93" i="1"/>
  <c r="F92" i="1" s="1"/>
  <c r="I92" i="1"/>
  <c r="E92" i="1"/>
  <c r="D92" i="1"/>
  <c r="D107" i="1" s="1"/>
  <c r="C89" i="1"/>
  <c r="H85" i="1"/>
  <c r="F85" i="1"/>
  <c r="D85" i="1"/>
  <c r="G61" i="1"/>
  <c r="G60" i="1"/>
  <c r="H55" i="1"/>
  <c r="G55" i="1"/>
  <c r="F55" i="1"/>
  <c r="E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I26" i="1" s="1"/>
  <c r="G35" i="1"/>
  <c r="G34" i="1" s="1"/>
  <c r="G26" i="1" s="1"/>
  <c r="F35" i="1"/>
  <c r="E35" i="1"/>
  <c r="D34" i="1"/>
  <c r="I33" i="1"/>
  <c r="H33" i="1"/>
  <c r="G33" i="1"/>
  <c r="F33" i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F27" i="1" s="1"/>
  <c r="I28" i="1"/>
  <c r="H28" i="1"/>
  <c r="H27" i="1" s="1"/>
  <c r="G28" i="1"/>
  <c r="F28" i="1"/>
  <c r="I27" i="1"/>
  <c r="G27" i="1"/>
  <c r="E27" i="1"/>
  <c r="D27" i="1"/>
  <c r="D26" i="1" s="1"/>
  <c r="D44" i="1" s="1"/>
  <c r="E26" i="1"/>
  <c r="I25" i="1"/>
  <c r="H25" i="1"/>
  <c r="G25" i="1"/>
  <c r="F25" i="1"/>
  <c r="I24" i="1"/>
  <c r="I23" i="1" s="1"/>
  <c r="G24" i="1"/>
  <c r="G23" i="1" s="1"/>
  <c r="F24" i="1"/>
  <c r="F23" i="1" s="1"/>
  <c r="E23" i="1"/>
  <c r="E44" i="1" s="1"/>
  <c r="D23" i="1"/>
  <c r="H16" i="1"/>
  <c r="F16" i="1"/>
  <c r="D16" i="1"/>
  <c r="F34" i="1" l="1"/>
  <c r="F26" i="1" s="1"/>
  <c r="F44" i="1" s="1"/>
  <c r="H35" i="1"/>
  <c r="H134" i="1"/>
  <c r="F423" i="1"/>
  <c r="G413" i="1"/>
  <c r="H380" i="1"/>
  <c r="H391" i="1" s="1"/>
  <c r="I107" i="1"/>
  <c r="H139" i="1"/>
  <c r="F107" i="1"/>
  <c r="G249" i="1"/>
  <c r="F253" i="1"/>
  <c r="G253" i="1" s="1"/>
  <c r="I150" i="1"/>
  <c r="F391" i="1"/>
  <c r="G44" i="1"/>
  <c r="I44" i="1"/>
  <c r="H128" i="1"/>
  <c r="G295" i="1"/>
  <c r="F299" i="1"/>
  <c r="G299" i="1" s="1"/>
  <c r="H34" i="1"/>
  <c r="H26" i="1" s="1"/>
  <c r="H94" i="1"/>
  <c r="H92" i="1" s="1"/>
  <c r="H97" i="1"/>
  <c r="H96" i="1" s="1"/>
  <c r="H95" i="1" s="1"/>
  <c r="G128" i="1"/>
  <c r="G175" i="1"/>
  <c r="H24" i="1"/>
  <c r="H23" i="1" s="1"/>
  <c r="H44" i="1" s="1"/>
  <c r="G134" i="1"/>
  <c r="G133" i="1" s="1"/>
  <c r="G350" i="1"/>
  <c r="G150" i="1" l="1"/>
  <c r="H133" i="1"/>
  <c r="H150" i="1" s="1"/>
  <c r="H107" i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<sst xmlns="http://schemas.openxmlformats.org/spreadsheetml/2006/main" count="359" uniqueCount="152">
  <si>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</si>
  <si>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</si>
  <si>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</si>
  <si>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</si>
  <si>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</si>
  <si>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</si>
  <si>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</si>
  <si>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</si>
  <si>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</si>
  <si>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</si>
  <si>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</si>
  <si>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</si>
  <si>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</si>
  <si>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</si>
  <si>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</si>
  <si>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</si>
  <si>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</si>
  <si>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</si>
  <si>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</si>
  <si>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</si>
  <si>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</si>
  <si>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</si>
  <si>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</si>
  <si>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</si>
  <si>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</si>
  <si>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</si>
  <si>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</si>
  <si>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</si>
  <si>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</si>
  <si>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</si>
  <si>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</si>
  <si>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</si>
  <si>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</si>
  <si>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</si>
  <si>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</si>
  <si>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</si>
  <si>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</si>
  <si>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</si>
  <si>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</si>
  <si>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</si>
  <si>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</si>
  <si>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</si>
  <si>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</si>
  <si>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</si>
  <si>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</si>
  <si>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</si>
  <si>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</si>
  <si>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</si>
  <si>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</si>
  <si>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</si>
  <si>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</si>
  <si>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</si>
  <si>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</si>
  <si>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</si>
  <si>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</si>
  <si>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</si>
  <si>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</si>
  <si>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</si>
  <si>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</si>
  <si>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</si>
  <si>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</si>
  <si>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</si>
  <si>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</si>
  <si>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</si>
  <si>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</si>
  <si>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</si>
  <si>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</si>
  <si>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</si>
  <si>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</si>
  <si>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</si>
  <si>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</si>
  <si>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</si>
  <si>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</si>
  <si>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</si>
  <si>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</si>
  <si>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</si>
  <si>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</si>
  <si>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</si>
  <si>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</si>
  <si>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</si>
  <si>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</si>
  <si>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</si>
  <si>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</si>
  <si>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</si>
  <si>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</si>
  <si>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</si>
  <si>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</si>
  <si>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</si>
  <si>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</si>
  <si>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</si>
  <si>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</si>
  <si>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</si>
  <si>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</si>
  <si>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</si>
  <si>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</si>
  <si>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</si>
  <si>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</si>
  <si>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</si>
  <si>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</si>
  <si>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</si>
  <si>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</si>
  <si>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</si>
  <si>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</si>
  <si>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</si>
  <si>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</si>
  <si>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</si>
  <si>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</si>
  <si>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</si>
  <si>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</si>
  <si>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</si>
  <si>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</si>
  <si>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</si>
  <si>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</si>
  <si>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</si>
  <si>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</si>
  <si>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</si>
  <si>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</si>
  <si>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</si>
  <si>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</si>
  <si>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</si>
  <si>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</si>
  <si>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</si>
  <si>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</si>
  <si>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</si>
  <si>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</si>
  <si>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</si>
  <si>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</si>
  <si>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</si>
  <si>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</si>
  <si>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</si>
  <si>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</si>
  <si>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</si>
  <si>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</si>
  <si>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</si>
  <si>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</si>
  <si>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</si>
  <si>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</si>
  <si>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</si>
  <si>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</si>
  <si>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</si>
  <si>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</si>
  <si>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</si>
  <si>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</si>
  <si>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</si>
  <si>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2 Registrert rekreasjonsfiske utgjør 42 tonn, men det legges til grunn at hele avsetningen tas</t>
  </si>
  <si>
    <t>4 Registrert rekreasjonsfiske utgjør 147 tonn, men det legges til grunn at hele avsetningen tas</t>
  </si>
  <si>
    <t>3 Registrert rekreasjonsfiske utgjør 520 tonn, men det legges til grunn at hele avsetningen tas</t>
  </si>
  <si>
    <t>FANGST UKE 16</t>
  </si>
  <si>
    <t>FANGST T.O.M UKE 16</t>
  </si>
  <si>
    <t>RESTKVOTER UKE 16</t>
  </si>
  <si>
    <t>FANGST T.O.M UKE 16 2023</t>
  </si>
  <si>
    <r>
      <t>3</t>
    </r>
    <r>
      <rPr>
        <sz val="9"/>
        <color indexed="8"/>
        <rFont val="Calibri"/>
        <family val="2"/>
      </rPr>
      <t xml:space="preserve"> Det er fisket 1 519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</si>
</sst>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E6" sqref="E6"/>
    </sheetView>
  </sheetViews>
  <sheetFormatPr baseColWidth="10" defaultColWidth="10.625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123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142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464.01749999999998</v>
      </c>
      <c r="G23" s="28">
        <f t="shared" si="0"/>
        <v>32823.339820000001</v>
      </c>
      <c r="H23" s="11">
        <f t="shared" si="0"/>
        <v>27988.660180000003</v>
      </c>
      <c r="I23" s="11">
        <f t="shared" si="0"/>
        <v>36809.16433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464.0175</f>
        <v>464.01749999999998</v>
      </c>
      <c r="G24" s="23">
        <f>32423.43553</f>
        <v>32423.435529999999</v>
      </c>
      <c r="H24" s="23">
        <f>E24-G24</f>
        <v>27618.564470000001</v>
      </c>
      <c r="I24" s="23">
        <f>36618.47584</f>
        <v>36618.475839999999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399.90429</f>
        <v>399.90429</v>
      </c>
      <c r="H25" s="23">
        <f>E25-G25</f>
        <v>370.09571</v>
      </c>
      <c r="I25" s="23">
        <f>190.68849</f>
        <v>190.68849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3376.3223400000002</v>
      </c>
      <c r="G26" s="11">
        <f t="shared" si="1"/>
        <v>105447.5416</v>
      </c>
      <c r="H26" s="11">
        <f t="shared" si="1"/>
        <v>39426.458399999996</v>
      </c>
      <c r="I26" s="11">
        <f t="shared" si="1"/>
        <v>143019.68848999997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2486.1642400000001</v>
      </c>
      <c r="G27" s="132">
        <f t="shared" ref="G27:I27" si="2">G28+G29+G30+G31+G32</f>
        <v>88455.360249999998</v>
      </c>
      <c r="H27" s="132">
        <f t="shared" si="2"/>
        <v>24522.639749999998</v>
      </c>
      <c r="I27" s="132">
        <f t="shared" si="2"/>
        <v>115782.67390999998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707.89235</f>
        <v>707.89234999999996</v>
      </c>
      <c r="G28" s="127">
        <f>23917.24204 - F56</f>
        <v>23917.242040000001</v>
      </c>
      <c r="H28" s="127">
        <f t="shared" ref="H28:H40" si="3">E28-G28</f>
        <v>4712.757959999999</v>
      </c>
      <c r="I28" s="127">
        <f>32258.12936 - H56</f>
        <v>32258.129359999999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495.71393</f>
        <v>495.71393</v>
      </c>
      <c r="G29" s="127">
        <f>25496.2251 - F57</f>
        <v>25496.2251</v>
      </c>
      <c r="H29" s="127">
        <f t="shared" si="3"/>
        <v>4168.7749000000003</v>
      </c>
      <c r="I29" s="127">
        <f>33394.30789 - H57</f>
        <v>33394.307889999996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592.3091</f>
        <v>592.30909999999994</v>
      </c>
      <c r="G30" s="127">
        <f>22271.92798 - F58</f>
        <v>22271.92798</v>
      </c>
      <c r="H30" s="127">
        <f t="shared" si="3"/>
        <v>4972.0720199999996</v>
      </c>
      <c r="I30" s="127">
        <f>29554.40632 - H58</f>
        <v>29554.406319999998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690.24886</f>
        <v>690.24886000000004</v>
      </c>
      <c r="G31" s="127">
        <f>16769.96513 - F59</f>
        <v>16769.96513</v>
      </c>
      <c r="H31" s="127">
        <f t="shared" si="3"/>
        <v>2569.0348699999995</v>
      </c>
      <c r="I31" s="127">
        <f>20575.83034 - H59</f>
        <v>20575.83034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147.74118</f>
        <v>147.74118000000001</v>
      </c>
      <c r="G33" s="132">
        <f>7127.0465</f>
        <v>7127.0465000000004</v>
      </c>
      <c r="H33" s="132">
        <f t="shared" si="3"/>
        <v>9731.9534999999996</v>
      </c>
      <c r="I33" s="132">
        <f>10825.44684</f>
        <v>10825.446840000001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742.41692</v>
      </c>
      <c r="G34" s="132">
        <f>G35+G36</f>
        <v>9865.1348500000004</v>
      </c>
      <c r="H34" s="132">
        <f t="shared" si="3"/>
        <v>5171.8651499999996</v>
      </c>
      <c r="I34" s="132">
        <f>I35+I36</f>
        <v>16411.567739999999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742.41692</f>
        <v>742.41692</v>
      </c>
      <c r="G35" s="132">
        <f>11814.13485 - F60 - F61</f>
        <v>9865.1348500000004</v>
      </c>
      <c r="H35" s="127">
        <f t="shared" si="3"/>
        <v>4211.8651499999996</v>
      </c>
      <c r="I35" s="127">
        <f>18719.56774 - H60 - H61</f>
        <v>16411.567739999999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8.816</f>
        <v>8.8160000000000007</v>
      </c>
      <c r="G37" s="139">
        <f>148.2308</f>
        <v>148.23079999999999</v>
      </c>
      <c r="H37" s="139">
        <f t="shared" si="3"/>
        <v>1851.7692</v>
      </c>
      <c r="I37" s="139">
        <f>349.1504</f>
        <v>349.15039999999999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19.28284</f>
        <v>19.28284</v>
      </c>
      <c r="G38" s="98">
        <f>433.65168</f>
        <v>433.65168</v>
      </c>
      <c r="H38" s="98">
        <f t="shared" si="3"/>
        <v>421.34832</v>
      </c>
      <c r="I38" s="98">
        <f>435.97548</f>
        <v>435.97548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192</v>
      </c>
      <c r="G39" s="98">
        <f>F61</f>
        <v>1949</v>
      </c>
      <c r="H39" s="98">
        <f t="shared" si="3"/>
        <v>1051</v>
      </c>
      <c r="I39" s="98">
        <f>H61</f>
        <v>2308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30.45692</f>
        <v>30.45692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15.0479</f>
        <v>15.0479</v>
      </c>
      <c r="G41" s="98">
        <f>300.89361</f>
        <v>300.89361000000002</v>
      </c>
      <c r="H41" s="98">
        <f>E41-G41</f>
        <v>99.106389999999976</v>
      </c>
      <c r="I41" s="98">
        <f>276.64505</f>
        <v>276.64505000000003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97.92076</f>
        <v>97.920760000000001</v>
      </c>
      <c r="H43" s="139">
        <f t="shared" ref="H43" si="4">E43-G43</f>
        <v>-97.920760000000001</v>
      </c>
      <c r="I43" s="139">
        <f>38.95314</f>
        <v>38.953139999999998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4105.9434999999994</v>
      </c>
      <c r="G44" s="76">
        <f t="shared" si="5"/>
        <v>148200.58226999998</v>
      </c>
      <c r="H44" s="76">
        <f t="shared" si="5"/>
        <v>70840.417730000001</v>
      </c>
      <c r="I44" s="76">
        <f t="shared" si="5"/>
        <v>190237.57688999997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192</v>
      </c>
      <c r="F61" s="139">
        <v>1949</v>
      </c>
      <c r="G61" s="139">
        <f>D61-F61</f>
        <v>1051</v>
      </c>
      <c r="H61" s="139">
        <v>2308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92.1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164.29839999999999</v>
      </c>
      <c r="G92" s="11">
        <f t="shared" si="6"/>
        <v>21809.04535</v>
      </c>
      <c r="H92" s="11">
        <f t="shared" si="6"/>
        <v>4151.9546500000006</v>
      </c>
      <c r="I92" s="11">
        <f t="shared" si="6"/>
        <v>34676.554450000003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164.2984</f>
        <v>164.29839999999999</v>
      </c>
      <c r="G93" s="23">
        <f>21062.3151</f>
        <v>21062.3151</v>
      </c>
      <c r="H93" s="23">
        <f>E93-G93</f>
        <v>4073.6849000000002</v>
      </c>
      <c r="I93" s="23">
        <f>34192.50151</f>
        <v>34192.501510000002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746.73025</f>
        <v>746.73024999999996</v>
      </c>
      <c r="H94" s="50">
        <f>E94-G94</f>
        <v>78.269750000000045</v>
      </c>
      <c r="I94" s="50">
        <f>484.05294</f>
        <v>484.05293999999998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1055.7715800000001</v>
      </c>
      <c r="G95" s="11">
        <f t="shared" si="7"/>
        <v>18831.615790000003</v>
      </c>
      <c r="H95" s="11">
        <f t="shared" si="7"/>
        <v>30162.384209999997</v>
      </c>
      <c r="I95" s="11">
        <f t="shared" si="7"/>
        <v>13160.92071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800.57767000000001</v>
      </c>
      <c r="G96" s="132">
        <f t="shared" si="8"/>
        <v>13479.000520000001</v>
      </c>
      <c r="H96" s="132">
        <f t="shared" si="8"/>
        <v>24014.999479999999</v>
      </c>
      <c r="I96" s="132">
        <f t="shared" si="8"/>
        <v>8450.3190599999998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101.40327</f>
        <v>101.40327000000001</v>
      </c>
      <c r="G97" s="127">
        <f>3189.61735</f>
        <v>3189.61735</v>
      </c>
      <c r="H97" s="127">
        <f t="shared" ref="H97:H104" si="9">E97-G97</f>
        <v>6825.3826499999996</v>
      </c>
      <c r="I97" s="127">
        <f>1824.21642</f>
        <v>1824.21642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310.4668</f>
        <v>310.46679999999998</v>
      </c>
      <c r="G98" s="127">
        <f>4651.77586</f>
        <v>4651.7758599999997</v>
      </c>
      <c r="H98" s="127">
        <f t="shared" si="9"/>
        <v>5962.2241400000003</v>
      </c>
      <c r="I98" s="127">
        <f>2504.43586</f>
        <v>2504.43586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242.27011</f>
        <v>242.27010999999999</v>
      </c>
      <c r="G99" s="127">
        <f>3491.79651</f>
        <v>3491.7965100000001</v>
      </c>
      <c r="H99" s="127">
        <f t="shared" si="9"/>
        <v>6620.2034899999999</v>
      </c>
      <c r="I99" s="127">
        <f>1973.45731</f>
        <v>1973.45731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146.43749</f>
        <v>146.43749</v>
      </c>
      <c r="G100" s="127">
        <f>2145.8108</f>
        <v>2145.8108000000002</v>
      </c>
      <c r="H100" s="127">
        <f t="shared" si="9"/>
        <v>4607.1891999999998</v>
      </c>
      <c r="I100" s="127">
        <f>2148.20947</f>
        <v>2148.2094699999998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183.81895</f>
        <v>183.81895</v>
      </c>
      <c r="G101" s="132">
        <f>3868.0547</f>
        <v>3868.0547000000001</v>
      </c>
      <c r="H101" s="132">
        <f t="shared" si="9"/>
        <v>3727.9452999999999</v>
      </c>
      <c r="I101" s="132">
        <f>3671.28205</f>
        <v>3671.2820499999998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71.37496</f>
        <v>71.374960000000002</v>
      </c>
      <c r="G102" s="75">
        <f>1484.56057</f>
        <v>1484.5605700000001</v>
      </c>
      <c r="H102" s="75">
        <f t="shared" si="9"/>
        <v>2419.4394299999999</v>
      </c>
      <c r="I102" s="75">
        <f>1039.3196</f>
        <v>1039.3196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4.11004</f>
        <v>4.1100399999999997</v>
      </c>
      <c r="G103" s="98">
        <f>35.72182</f>
        <v>35.721820000000001</v>
      </c>
      <c r="H103" s="98">
        <f t="shared" si="9"/>
        <v>283.27818000000002</v>
      </c>
      <c r="I103" s="98">
        <f>11.1417</f>
        <v>11.1417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2.39697</f>
        <v>2.39697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1.23362</f>
        <v>1.2336199999999999</v>
      </c>
      <c r="G105" s="98">
        <f>17.83416</f>
        <v>17.834160000000001</v>
      </c>
      <c r="H105" s="139">
        <f>E105-G105</f>
        <v>32.165840000000003</v>
      </c>
      <c r="I105" s="98">
        <f>5.76634</f>
        <v>5.7663399999999996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15.97624</f>
        <v>15.976240000000001</v>
      </c>
      <c r="H106" s="139">
        <f t="shared" ref="H106" si="10">E106-G106</f>
        <v>-15.976240000000001</v>
      </c>
      <c r="I106" s="139">
        <f>20.04592</f>
        <v>20.045919999999999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1227.81061</v>
      </c>
      <c r="G107" s="76">
        <f t="shared" si="12"/>
        <v>41010.193360000005</v>
      </c>
      <c r="H107" s="76">
        <f t="shared" si="12"/>
        <v>34613.806639999995</v>
      </c>
      <c r="I107" s="76">
        <f t="shared" si="12"/>
        <v>48174.429120000001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69.735600000000005</v>
      </c>
      <c r="G128" s="11">
        <f t="shared" si="13"/>
        <v>31191.762150000002</v>
      </c>
      <c r="H128" s="11">
        <f t="shared" si="13"/>
        <v>41115.237849999998</v>
      </c>
      <c r="I128" s="11">
        <f t="shared" si="13"/>
        <v>29457.303250000001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69.7356</f>
        <v>69.735600000000005</v>
      </c>
      <c r="G129" s="23">
        <f>27567.20716</f>
        <v>27567.207160000002</v>
      </c>
      <c r="H129" s="23">
        <f>E129-G129</f>
        <v>29994.792839999998</v>
      </c>
      <c r="I129" s="23">
        <f>25182.66617</f>
        <v>25182.66617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3559.10484</f>
        <v>3559.10484</v>
      </c>
      <c r="H130" s="23">
        <f>E130-G130</f>
        <v>10685.89516</v>
      </c>
      <c r="I130" s="23">
        <f>4160.58083</f>
        <v>4160.5808299999999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114.05625</f>
        <v>114.05625000000001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41.136</f>
        <v>41.136000000000003</v>
      </c>
      <c r="G132" s="95">
        <f>57.444+1518.847395</f>
        <v>1576.291395</v>
      </c>
      <c r="H132" s="95">
        <f>E132-G132</f>
        <v>50919.708605</v>
      </c>
      <c r="I132" s="95">
        <f>1349.48813</f>
        <v>1349.48813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1559.4503</v>
      </c>
      <c r="G133" s="94">
        <f t="shared" ref="G133" si="14">G134+G139+G142</f>
        <v>41105.117764999995</v>
      </c>
      <c r="H133" s="94">
        <f>H134+H139+H142</f>
        <v>39059.882235000005</v>
      </c>
      <c r="I133" s="94">
        <f>I134+I139+I142</f>
        <v>40377.717490000003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1339.4892399999999</v>
      </c>
      <c r="G134" s="125">
        <f>G135+G136+G138+G137</f>
        <v>30778.756614999998</v>
      </c>
      <c r="H134" s="125">
        <f>H135+H136+H137+H138</f>
        <v>28300.243385000005</v>
      </c>
      <c r="I134" s="125">
        <f>I135+I136+I137+I138</f>
        <v>32401.033870000003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238.8643</f>
        <v>238.86429999999999</v>
      </c>
      <c r="G135" s="127">
        <v>5796.9534599999997</v>
      </c>
      <c r="H135" s="127">
        <f>E135-G135</f>
        <v>11977.046539999999</v>
      </c>
      <c r="I135" s="127">
        <f>4920.67176</f>
        <v>4920.6717600000002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258.20447</f>
        <v>258.20447000000001</v>
      </c>
      <c r="G136" s="127">
        <v>9653.5305449999996</v>
      </c>
      <c r="H136" s="127">
        <f>E136-G136</f>
        <v>5285.4694550000004</v>
      </c>
      <c r="I136" s="127">
        <f>9390.35762</f>
        <v>9390.3576200000007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450.75042</f>
        <v>450.75042000000002</v>
      </c>
      <c r="G137" s="127">
        <v>7983.6785099999997</v>
      </c>
      <c r="H137" s="127">
        <f>E137-G137</f>
        <v>5067.3214900000003</v>
      </c>
      <c r="I137" s="127">
        <f>8494.27021</f>
        <v>8494.2702100000006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391.67005</f>
        <v>391.67005</v>
      </c>
      <c r="G138" s="127">
        <v>7344.5940999999993</v>
      </c>
      <c r="H138" s="127">
        <f>E138-G138</f>
        <v>5970.4059000000007</v>
      </c>
      <c r="I138" s="127">
        <f>9595.73428</f>
        <v>9595.7342800000006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16.446670000000001</v>
      </c>
      <c r="G139" s="132">
        <f>SUM(G140:G141)</f>
        <v>7686.0414499999997</v>
      </c>
      <c r="H139" s="132">
        <f>H140+H141</f>
        <v>1243.9585500000001</v>
      </c>
      <c r="I139" s="132">
        <f>SUM(I140:I141)</f>
        <v>5628.0828499999998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3.4335</f>
        <v>3.4335</v>
      </c>
      <c r="G140" s="127">
        <f>7494.19564</f>
        <v>7494.1956399999999</v>
      </c>
      <c r="H140" s="127">
        <f t="shared" ref="H140:H148" si="15">E140-G140</f>
        <v>935.80436000000009</v>
      </c>
      <c r="I140" s="127">
        <f>5512.80332</f>
        <v>5512.80332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13.01317</f>
        <v>13.013170000000001</v>
      </c>
      <c r="G141" s="127">
        <f>191.84581</f>
        <v>191.84581</v>
      </c>
      <c r="H141" s="127">
        <f t="shared" si="15"/>
        <v>308.15418999999997</v>
      </c>
      <c r="I141" s="127">
        <f>115.27953</f>
        <v>115.27952999999999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203.51439</f>
        <v>203.51438999999999</v>
      </c>
      <c r="G142" s="75">
        <f>2640.3197</f>
        <v>2640.3197</v>
      </c>
      <c r="H142" s="75">
        <f t="shared" si="15"/>
        <v>9515.6803</v>
      </c>
      <c r="I142" s="75">
        <f>2348.60077</f>
        <v>2348.60077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1.35</f>
        <v>1.35</v>
      </c>
      <c r="G143" s="139">
        <f>15.54558</f>
        <v>15.545579999999999</v>
      </c>
      <c r="H143" s="139">
        <f t="shared" si="15"/>
        <v>130.45442</v>
      </c>
      <c r="I143" s="139">
        <f>20.99741</f>
        <v>20.997409999999999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12.34659</f>
        <v>12.346590000000001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5.11385</f>
        <v>5.1138500000000002</v>
      </c>
      <c r="G147" s="98">
        <f>30.55873</f>
        <v>30.558730000000001</v>
      </c>
      <c r="H147" s="139">
        <f t="shared" si="15"/>
        <v>245.44127</v>
      </c>
      <c r="I147" s="98">
        <f>22.78795</f>
        <v>22.787949999999999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109.94869</f>
        <v>109.94869</v>
      </c>
      <c r="H148" s="139">
        <f t="shared" si="15"/>
        <v>-109.94869</v>
      </c>
      <c r="I148" s="139">
        <f>63.57205</f>
        <v>63.572049999999997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1689.1323399999999</v>
      </c>
      <c r="G150" s="76">
        <f>G128+G132+G133+G143+G144+G145+G146+G147+G148</f>
        <v>76029.22431000002</v>
      </c>
      <c r="H150" s="76">
        <f>H128+H132+H133+H143+H144+H145+H146+H147+H148</f>
        <v>131610.77569000001</v>
      </c>
      <c r="I150" s="76">
        <f>I128+I132+I133+I143+I144+I145+I146+I147+I148</f>
        <v>73291.866280000002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65.099999999999994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1.71842</f>
        <v>1.7184200000000001</v>
      </c>
      <c r="F175" s="275">
        <f>343.12424</f>
        <v>343.12423999999999</v>
      </c>
      <c r="G175" s="43">
        <f>D175-F175-F176</f>
        <v>3523.5106299999998</v>
      </c>
      <c r="H175" s="275">
        <f>586.9593</f>
        <v>586.95929999999998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90.97955</f>
        <v>90.979550000000003</v>
      </c>
      <c r="F176" s="152">
        <f>356.36513</f>
        <v>356.36513000000002</v>
      </c>
      <c r="G176" s="216"/>
      <c r="H176" s="152">
        <f>286.43882</f>
        <v>286.43882000000002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0.52268</f>
        <v>0.52268000000000003</v>
      </c>
      <c r="F177" s="172">
        <f>25.0249</f>
        <v>25.024899999999999</v>
      </c>
      <c r="G177" s="172">
        <f>D177-F177</f>
        <v>174.9751</v>
      </c>
      <c r="H177" s="172">
        <f>32.37132</f>
        <v>32.371319999999997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10.299900000000001</v>
      </c>
      <c r="F178" s="181">
        <f>F179+F180+F181</f>
        <v>57.816009999999999</v>
      </c>
      <c r="G178" s="181">
        <f>D178-F178</f>
        <v>6276.1839900000004</v>
      </c>
      <c r="H178" s="181">
        <f>H179+H180+H181</f>
        <v>22.532240000000002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7.93756</f>
        <v>7.9375600000000004</v>
      </c>
      <c r="F179" s="127">
        <f>35.16241</f>
        <v>35.162410000000001</v>
      </c>
      <c r="G179" s="127"/>
      <c r="H179" s="127">
        <f>7.15252</f>
        <v>7.15252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1.56664</f>
        <v>1.56664</v>
      </c>
      <c r="F180" s="127">
        <f>13.35522</f>
        <v>13.355219999999999</v>
      </c>
      <c r="G180" s="127"/>
      <c r="H180" s="127">
        <f>14.2756</f>
        <v>14.275600000000001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0.7957</f>
        <v>0.79569999999999996</v>
      </c>
      <c r="F181" s="192">
        <f>9.29838</f>
        <v>9.2983799999999999</v>
      </c>
      <c r="G181" s="192"/>
      <c r="H181" s="192">
        <f>1.10412</f>
        <v>1.10412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103.52054999999999</v>
      </c>
      <c r="F184" s="194">
        <f>F175+F176+F177+F178+F182+F183</f>
        <v>782.33028000000002</v>
      </c>
      <c r="G184" s="194">
        <f>D184-F184</f>
        <v>10040.66972</v>
      </c>
      <c r="H184" s="194">
        <f>H175+H176+H177+H178+H182+H183</f>
        <v>928.30168000000003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28.536</f>
        <v>28.536000000000001</v>
      </c>
      <c r="F204" s="124">
        <f>12932.5867</f>
        <v>12932.5867</v>
      </c>
      <c r="G204" s="124">
        <f>D204-F204</f>
        <v>33349.4133</v>
      </c>
      <c r="H204" s="124">
        <f>7898.09883</f>
        <v>7898.0988299999999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4.954</f>
        <v>4.9539999999999997</v>
      </c>
      <c r="F205" s="124">
        <f>6.67305</f>
        <v>6.6730499999999999</v>
      </c>
      <c r="G205" s="124">
        <f>D205-F205</f>
        <v>93.326949999999997</v>
      </c>
      <c r="H205" s="124">
        <f>0.86924</f>
        <v>0.86924000000000001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33.49</v>
      </c>
      <c r="F207" s="190">
        <f>SUM(F204:F206)</f>
        <v>12939.259749999999</v>
      </c>
      <c r="G207" s="190">
        <f>D207-F207</f>
        <v>33478.740250000003</v>
      </c>
      <c r="H207" s="190">
        <f>SUM(H204:H206)</f>
        <v>7898.9680699999999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129.54921999999999</v>
      </c>
      <c r="F249" s="75">
        <f>F250+F251</f>
        <v>2105.8965899999998</v>
      </c>
      <c r="G249" s="75">
        <f>D249-F249</f>
        <v>1881.1034100000002</v>
      </c>
      <c r="H249" s="75">
        <f>H250+H251</f>
        <v>1244.6006199999999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127.21186</f>
        <v>127.21186</v>
      </c>
      <c r="F250" s="75">
        <f>1680.14987</f>
        <v>1680.14987</v>
      </c>
      <c r="G250" s="75"/>
      <c r="H250" s="75">
        <f>914.41863</f>
        <v>914.41863000000001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2.33736</f>
        <v>2.3373599999999999</v>
      </c>
      <c r="F251" s="124">
        <f>425.74672</f>
        <v>425.74671999999998</v>
      </c>
      <c r="G251" s="168"/>
      <c r="H251" s="124">
        <f>330.18199</f>
        <v>330.18198999999998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335.47664</f>
        <v>335.47663999999997</v>
      </c>
      <c r="F252" s="75">
        <f>2496.46197</f>
        <v>2496.4619699999998</v>
      </c>
      <c r="G252" s="75">
        <f>D252-F252</f>
        <v>2116.5380300000002</v>
      </c>
      <c r="H252" s="75">
        <f>2280.82421</f>
        <v>2280.8242100000002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SUM(E249:E252)</f>
        <v>594.57507999999996</v>
      </c>
      <c r="F253" s="190">
        <f>SUM(F249,F252)</f>
        <v>4602.3585599999997</v>
      </c>
      <c r="G253" s="190">
        <f>D253-F253</f>
        <v>3997.6414400000003</v>
      </c>
      <c r="H253" s="190">
        <f>SUM(H249:H252)</f>
        <v>4770.0254500000001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235.20932999999999</v>
      </c>
      <c r="F295" s="75">
        <f>F296+F297</f>
        <v>1714.4568099999999</v>
      </c>
      <c r="G295" s="75">
        <f>D295-F295</f>
        <v>3375.5431900000003</v>
      </c>
      <c r="H295" s="75">
        <f>H296+H297</f>
        <v>811.35924999999997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233.78145</f>
        <v>233.78145000000001</v>
      </c>
      <c r="F296" s="75">
        <f>1427.99805</f>
        <v>1427.9980499999999</v>
      </c>
      <c r="G296" s="75"/>
      <c r="H296" s="75">
        <f>610.95382</f>
        <v>610.95381999999995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1.42788</f>
        <v>1.42788</v>
      </c>
      <c r="F297" s="124">
        <f>286.45876</f>
        <v>286.45875999999998</v>
      </c>
      <c r="G297" s="168"/>
      <c r="H297" s="124">
        <f>200.40543</f>
        <v>200.40543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94.10056</f>
        <v>94.100560000000002</v>
      </c>
      <c r="F298" s="75">
        <f>1337.31896</f>
        <v>1337.3189600000001</v>
      </c>
      <c r="G298" s="75">
        <f>D298-F298</f>
        <v>1643.6810399999999</v>
      </c>
      <c r="H298" s="75">
        <f>1089.26148</f>
        <v>1089.2614799999999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SUM(E295:E298)</f>
        <v>564.51922000000002</v>
      </c>
      <c r="F299" s="190">
        <f>SUM(F295,F298)</f>
        <v>3051.7757700000002</v>
      </c>
      <c r="G299" s="190">
        <f>D299-F299</f>
        <v>5019.2242299999998</v>
      </c>
      <c r="H299" s="190">
        <f>SUM(H295:H298)</f>
        <v>2711.9799800000001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9.79838</f>
        <v>9.7983799999999999</v>
      </c>
      <c r="F350" s="124">
        <f>191.36843</f>
        <v>191.36842999999999</v>
      </c>
      <c r="G350" s="124">
        <f>D350-F350</f>
        <v>608.63157000000001</v>
      </c>
      <c r="H350" s="124">
        <f>130.4875</f>
        <v>130.48750000000001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12.57824</f>
        <v>12.578239999999999</v>
      </c>
      <c r="F351" s="124">
        <f>409.19922</f>
        <v>409.19922000000003</v>
      </c>
      <c r="G351" s="124">
        <f>D351-F351</f>
        <v>2631.80078</v>
      </c>
      <c r="H351" s="124">
        <f>445.96004</f>
        <v>445.96003999999999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0.19282</f>
        <v>0.19281999999999999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22.376619999999999</v>
      </c>
      <c r="F354" s="190">
        <f>SUM(F350:F353)</f>
        <v>601.22470999999996</v>
      </c>
      <c r="G354" s="190">
        <f>D354-F354</f>
        <v>3249.77529</v>
      </c>
      <c r="H354" s="190">
        <f>H350+H351+H352+H353</f>
        <v>577.27556000000004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67.999219999999994</v>
      </c>
      <c r="G380" s="252">
        <f t="shared" si="17"/>
        <v>4597.8972400000002</v>
      </c>
      <c r="H380" s="252">
        <f>H384+H383+H382+H381</f>
        <v>18371.102760000002</v>
      </c>
      <c r="I380" s="252">
        <f t="shared" si="17"/>
        <v>3219.96828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3295.18161</f>
        <v>3295.1816100000001</v>
      </c>
      <c r="H381" s="256">
        <f t="shared" ref="H381:H385" si="18">E381-G381</f>
        <v>9894.8183900000004</v>
      </c>
      <c r="I381" s="256">
        <f>1618.56418</f>
        <v>1618.5641800000001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411.9444</f>
        <v>411.94439999999997</v>
      </c>
      <c r="H382" s="256">
        <f t="shared" si="18"/>
        <v>3021.0556000000001</v>
      </c>
      <c r="I382" s="256">
        <f>566.163</f>
        <v>566.16300000000001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36.92796</f>
        <v>36.927959999999999</v>
      </c>
      <c r="G383" s="256">
        <f>812.53777</f>
        <v>812.53777000000002</v>
      </c>
      <c r="H383" s="256">
        <f t="shared" si="18"/>
        <v>670.46222999999998</v>
      </c>
      <c r="I383" s="256">
        <f>758.67445</f>
        <v>758.67444999999998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31.07126</f>
        <v>31.071259999999999</v>
      </c>
      <c r="G384" s="256">
        <f>78.23346</f>
        <v>78.233459999999994</v>
      </c>
      <c r="H384" s="256">
        <f t="shared" si="18"/>
        <v>4784.7665399999996</v>
      </c>
      <c r="I384" s="256">
        <f>276.56665</f>
        <v>276.56664999999998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264.257</f>
        <v>264.25700000000001</v>
      </c>
      <c r="G385" s="267">
        <f>331.39956</f>
        <v>331.39956000000001</v>
      </c>
      <c r="H385" s="267">
        <f t="shared" si="18"/>
        <v>5168.6004400000002</v>
      </c>
      <c r="I385" s="267">
        <f>1736.81238</f>
        <v>1736.8123800000001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24.35924</v>
      </c>
      <c r="G386" s="268">
        <f>G388+G387</f>
        <v>1290.4686999999999</v>
      </c>
      <c r="H386" s="268">
        <f>E386-G386</f>
        <v>6709.5313000000006</v>
      </c>
      <c r="I386" s="268">
        <f>I388+I387</f>
        <v>1598.82033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517.07376</f>
        <v>517.07375999999999</v>
      </c>
      <c r="H387" s="256"/>
      <c r="I387" s="256">
        <f>746.70325</f>
        <v>746.70325000000003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24.35924</f>
        <v>24.35924</v>
      </c>
      <c r="G388" s="277">
        <f>773.39494</f>
        <v>773.39494000000002</v>
      </c>
      <c r="H388" s="277"/>
      <c r="I388" s="277">
        <f>852.11708</f>
        <v>852.11707999999999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0.0966</f>
        <v>9.6600000000000005E-2</v>
      </c>
      <c r="G390" s="267">
        <f>4.2086</f>
        <v>4.2085999999999997</v>
      </c>
      <c r="H390" s="267">
        <f>E390-G390</f>
        <v>-4.2085999999999997</v>
      </c>
      <c r="I390" s="267">
        <f>22.93132</f>
        <v>22.931319999999999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356.71206000000001</v>
      </c>
      <c r="G391" s="286">
        <f t="shared" si="19"/>
        <v>6224.0004999999992</v>
      </c>
      <c r="H391" s="286">
        <f>H380+H385+H386+H389+H390</f>
        <v>30257.999500000005</v>
      </c>
      <c r="I391" s="286">
        <f t="shared" si="19"/>
        <v>6578.5974100000003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121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1838.2897400000002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395.39864</f>
        <v>395.39864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1221.9089799999999</v>
      </c>
      <c r="G416" s="85">
        <f>D416-F416</f>
        <v>-161.90897999999993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239.36669</f>
        <v>239.36669000000001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94.32114</v>
      </c>
      <c r="F419" s="36">
        <f>SUM(F420:F421)</f>
        <v>521.64341999999999</v>
      </c>
      <c r="G419" s="85">
        <f>D419-F419</f>
        <v>713.35658000000001</v>
      </c>
      <c r="H419" s="36">
        <f>SUM(H420:H421)</f>
        <v>859.56268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62.1807</f>
        <v>62.180700000000002</v>
      </c>
      <c r="F420" s="30">
        <f>354.92444</f>
        <v>354.92444</v>
      </c>
      <c r="G420" s="97"/>
      <c r="H420" s="30">
        <f>607.45868</f>
        <v>607.45867999999996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32.14044</f>
        <v>32.140439999999998</v>
      </c>
      <c r="F421" s="30">
        <f>166.71898</f>
        <v>166.71897999999999</v>
      </c>
      <c r="G421" s="108"/>
      <c r="H421" s="30">
        <f>252.104</f>
        <v>252.10400000000001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94.32114</v>
      </c>
      <c r="F423" s="40">
        <f>F413+F416+F419+F422</f>
        <v>2731.9536299999995</v>
      </c>
      <c r="G423" s="41"/>
      <c r="H423" s="40">
        <f>H413+H416+H419+H422</f>
        <v>4591.3958400000001</v>
      </c>
      <c r="I423" s="27"/>
      <c r="J423" s="130"/>
    </row>
    <row r="424" spans="1:10" ht="42" customHeight="1" x14ac:dyDescent="0.25">
      <c r="A424" s="217"/>
      <c r="B424" s="72"/>
      <c r="C424" s="301" t="s">
        <v>122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16&amp;R22.04.2024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Even Gaulen Gulliksen</cp:lastModifiedBy>
  <cp:lastPrinted>2024-04-22T11:39:28Z</cp:lastPrinted>
  <dcterms:created xsi:type="dcterms:W3CDTF">2022-08-01T13:23:35Z</dcterms:created>
  <dcterms:modified xsi:type="dcterms:W3CDTF">2024-04-22T11:39:41Z</dcterms:modified>
</cp:coreProperties>
</file>