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4\"/>
    </mc:Choice>
  </mc:AlternateContent>
  <xr:revisionPtr revIDLastSave="0" documentId="13_ncr:1_{950A4168-57CF-428C-90D7-6107252E955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22" i="1"/>
  <c r="F422" i="1"/>
  <c r="G422" i="1" s="1"/>
  <c r="E422" i="1"/>
  <c r="H421" i="1"/>
  <c r="H419" i="1" s="1"/>
  <c r="F421" i="1"/>
  <c r="E421" i="1"/>
  <c r="H420" i="1"/>
  <c r="F420" i="1"/>
  <c r="E420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F413" i="1" s="1"/>
  <c r="E414" i="1"/>
  <c r="E413" i="1" s="1"/>
  <c r="E423" i="1" s="1"/>
  <c r="H413" i="1"/>
  <c r="I390" i="1"/>
  <c r="H390" i="1"/>
  <c r="G390" i="1"/>
  <c r="F390" i="1"/>
  <c r="I389" i="1"/>
  <c r="H389" i="1"/>
  <c r="G389" i="1"/>
  <c r="F389" i="1"/>
  <c r="I388" i="1"/>
  <c r="I386" i="1" s="1"/>
  <c r="I391" i="1" s="1"/>
  <c r="G388" i="1"/>
  <c r="G386" i="1" s="1"/>
  <c r="F388" i="1"/>
  <c r="I387" i="1"/>
  <c r="G387" i="1"/>
  <c r="F387" i="1"/>
  <c r="F386" i="1" s="1"/>
  <c r="I385" i="1"/>
  <c r="H385" i="1"/>
  <c r="G385" i="1"/>
  <c r="F385" i="1"/>
  <c r="I384" i="1"/>
  <c r="H384" i="1"/>
  <c r="G384" i="1"/>
  <c r="F384" i="1"/>
  <c r="I383" i="1"/>
  <c r="H383" i="1"/>
  <c r="H380" i="1" s="1"/>
  <c r="G383" i="1"/>
  <c r="F383" i="1"/>
  <c r="F380" i="1" s="1"/>
  <c r="I382" i="1"/>
  <c r="H382" i="1"/>
  <c r="G382" i="1"/>
  <c r="F382" i="1"/>
  <c r="I381" i="1"/>
  <c r="H381" i="1"/>
  <c r="G381" i="1"/>
  <c r="F381" i="1"/>
  <c r="I380" i="1"/>
  <c r="G380" i="1"/>
  <c r="D380" i="1"/>
  <c r="D391" i="1" s="1"/>
  <c r="H372" i="1"/>
  <c r="F372" i="1"/>
  <c r="H354" i="1"/>
  <c r="D354" i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G350" i="1"/>
  <c r="F350" i="1"/>
  <c r="F354" i="1" s="1"/>
  <c r="E350" i="1"/>
  <c r="E354" i="1" s="1"/>
  <c r="D343" i="1"/>
  <c r="D299" i="1"/>
  <c r="H298" i="1"/>
  <c r="G298" i="1"/>
  <c r="F298" i="1"/>
  <c r="E298" i="1"/>
  <c r="H297" i="1"/>
  <c r="F297" i="1"/>
  <c r="E297" i="1"/>
  <c r="H296" i="1"/>
  <c r="H295" i="1" s="1"/>
  <c r="H299" i="1" s="1"/>
  <c r="F296" i="1"/>
  <c r="F295" i="1" s="1"/>
  <c r="E296" i="1"/>
  <c r="E295" i="1"/>
  <c r="E299" i="1" s="1"/>
  <c r="D253" i="1"/>
  <c r="H252" i="1"/>
  <c r="F252" i="1"/>
  <c r="G252" i="1" s="1"/>
  <c r="E252" i="1"/>
  <c r="H251" i="1"/>
  <c r="F251" i="1"/>
  <c r="E251" i="1"/>
  <c r="E249" i="1" s="1"/>
  <c r="E253" i="1" s="1"/>
  <c r="H250" i="1"/>
  <c r="F250" i="1"/>
  <c r="F249" i="1" s="1"/>
  <c r="E250" i="1"/>
  <c r="H249" i="1"/>
  <c r="H253" i="1" s="1"/>
  <c r="F207" i="1"/>
  <c r="D207" i="1"/>
  <c r="G207" i="1" s="1"/>
  <c r="H206" i="1"/>
  <c r="G206" i="1"/>
  <c r="F206" i="1"/>
  <c r="E206" i="1"/>
  <c r="H205" i="1"/>
  <c r="G205" i="1"/>
  <c r="F205" i="1"/>
  <c r="E205" i="1"/>
  <c r="H204" i="1"/>
  <c r="H207" i="1" s="1"/>
  <c r="G204" i="1"/>
  <c r="F204" i="1"/>
  <c r="E204" i="1"/>
  <c r="E207" i="1" s="1"/>
  <c r="E184" i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F178" i="1" s="1"/>
  <c r="G178" i="1" s="1"/>
  <c r="E180" i="1"/>
  <c r="H179" i="1"/>
  <c r="H178" i="1" s="1"/>
  <c r="F179" i="1"/>
  <c r="E179" i="1"/>
  <c r="E178" i="1"/>
  <c r="H177" i="1"/>
  <c r="G177" i="1"/>
  <c r="F177" i="1"/>
  <c r="E177" i="1"/>
  <c r="H176" i="1"/>
  <c r="F176" i="1"/>
  <c r="E176" i="1"/>
  <c r="H175" i="1"/>
  <c r="F175" i="1"/>
  <c r="F184" i="1" s="1"/>
  <c r="G184" i="1" s="1"/>
  <c r="E175" i="1"/>
  <c r="D169" i="1"/>
  <c r="D167" i="1"/>
  <c r="E150" i="1"/>
  <c r="I148" i="1"/>
  <c r="G148" i="1"/>
  <c r="H148" i="1" s="1"/>
  <c r="F148" i="1"/>
  <c r="I147" i="1"/>
  <c r="G147" i="1"/>
  <c r="H147" i="1" s="1"/>
  <c r="F147" i="1"/>
  <c r="H146" i="1"/>
  <c r="H145" i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F139" i="1" s="1"/>
  <c r="I140" i="1"/>
  <c r="H140" i="1"/>
  <c r="G140" i="1"/>
  <c r="G139" i="1" s="1"/>
  <c r="G133" i="1" s="1"/>
  <c r="F140" i="1"/>
  <c r="I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I134" i="1"/>
  <c r="I133" i="1" s="1"/>
  <c r="G134" i="1"/>
  <c r="E134" i="1"/>
  <c r="D134" i="1"/>
  <c r="D133" i="1" s="1"/>
  <c r="E133" i="1"/>
  <c r="I132" i="1"/>
  <c r="H132" i="1"/>
  <c r="F132" i="1"/>
  <c r="I131" i="1"/>
  <c r="G131" i="1"/>
  <c r="H131" i="1" s="1"/>
  <c r="F131" i="1"/>
  <c r="I130" i="1"/>
  <c r="H130" i="1"/>
  <c r="G130" i="1"/>
  <c r="F130" i="1"/>
  <c r="F128" i="1" s="1"/>
  <c r="I129" i="1"/>
  <c r="I128" i="1" s="1"/>
  <c r="I150" i="1" s="1"/>
  <c r="G129" i="1"/>
  <c r="H129" i="1" s="1"/>
  <c r="H128" i="1" s="1"/>
  <c r="F129" i="1"/>
  <c r="E128" i="1"/>
  <c r="D128" i="1"/>
  <c r="D150" i="1" s="1"/>
  <c r="C126" i="1"/>
  <c r="I106" i="1"/>
  <c r="H106" i="1"/>
  <c r="G106" i="1"/>
  <c r="F106" i="1"/>
  <c r="I105" i="1"/>
  <c r="G105" i="1"/>
  <c r="H105" i="1" s="1"/>
  <c r="F105" i="1"/>
  <c r="H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I96" i="1" s="1"/>
  <c r="I95" i="1" s="1"/>
  <c r="G97" i="1"/>
  <c r="G96" i="1" s="1"/>
  <c r="G95" i="1" s="1"/>
  <c r="F97" i="1"/>
  <c r="F96" i="1" s="1"/>
  <c r="F95" i="1" s="1"/>
  <c r="E96" i="1"/>
  <c r="E95" i="1" s="1"/>
  <c r="E107" i="1" s="1"/>
  <c r="D96" i="1"/>
  <c r="D95" i="1"/>
  <c r="I94" i="1"/>
  <c r="I92" i="1" s="1"/>
  <c r="I107" i="1" s="1"/>
  <c r="G94" i="1"/>
  <c r="H94" i="1" s="1"/>
  <c r="H92" i="1" s="1"/>
  <c r="F94" i="1"/>
  <c r="I93" i="1"/>
  <c r="H93" i="1"/>
  <c r="G93" i="1"/>
  <c r="F93" i="1"/>
  <c r="G92" i="1"/>
  <c r="F92" i="1"/>
  <c r="E92" i="1"/>
  <c r="D92" i="1"/>
  <c r="D107" i="1" s="1"/>
  <c r="C89" i="1"/>
  <c r="H85" i="1"/>
  <c r="F85" i="1"/>
  <c r="D85" i="1"/>
  <c r="G61" i="1"/>
  <c r="G60" i="1"/>
  <c r="H55" i="1"/>
  <c r="G55" i="1"/>
  <c r="F55" i="1"/>
  <c r="E55" i="1"/>
  <c r="I43" i="1"/>
  <c r="G43" i="1"/>
  <c r="H43" i="1" s="1"/>
  <c r="F43" i="1"/>
  <c r="H42" i="1"/>
  <c r="I41" i="1"/>
  <c r="G41" i="1"/>
  <c r="H41" i="1" s="1"/>
  <c r="F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G36" i="1"/>
  <c r="H36" i="1" s="1"/>
  <c r="F36" i="1"/>
  <c r="F34" i="1" s="1"/>
  <c r="I35" i="1"/>
  <c r="G35" i="1"/>
  <c r="F35" i="1"/>
  <c r="E35" i="1"/>
  <c r="I34" i="1"/>
  <c r="I26" i="1" s="1"/>
  <c r="D34" i="1"/>
  <c r="I33" i="1"/>
  <c r="G33" i="1"/>
  <c r="H33" i="1" s="1"/>
  <c r="F33" i="1"/>
  <c r="I32" i="1"/>
  <c r="H32" i="1"/>
  <c r="G32" i="1"/>
  <c r="F32" i="1"/>
  <c r="I31" i="1"/>
  <c r="G31" i="1"/>
  <c r="H31" i="1" s="1"/>
  <c r="F31" i="1"/>
  <c r="I30" i="1"/>
  <c r="H30" i="1"/>
  <c r="G30" i="1"/>
  <c r="F30" i="1"/>
  <c r="I29" i="1"/>
  <c r="G29" i="1"/>
  <c r="H29" i="1" s="1"/>
  <c r="F29" i="1"/>
  <c r="F27" i="1" s="1"/>
  <c r="I28" i="1"/>
  <c r="H28" i="1"/>
  <c r="G28" i="1"/>
  <c r="G27" i="1" s="1"/>
  <c r="F28" i="1"/>
  <c r="I27" i="1"/>
  <c r="E27" i="1"/>
  <c r="D27" i="1"/>
  <c r="D26" i="1" s="1"/>
  <c r="E26" i="1"/>
  <c r="I25" i="1"/>
  <c r="H25" i="1"/>
  <c r="G25" i="1"/>
  <c r="F25" i="1"/>
  <c r="I24" i="1"/>
  <c r="I23" i="1" s="1"/>
  <c r="G24" i="1"/>
  <c r="H24" i="1" s="1"/>
  <c r="F24" i="1"/>
  <c r="F23" i="1" s="1"/>
  <c r="G23" i="1"/>
  <c r="E23" i="1"/>
  <c r="E44" i="1" s="1"/>
  <c r="D23" i="1"/>
  <c r="H16" i="1"/>
  <c r="F16" i="1"/>
  <c r="D16" i="1"/>
  <c r="H134" i="1" l="1"/>
  <c r="I44" i="1"/>
  <c r="G34" i="1"/>
  <c r="G26" i="1" s="1"/>
  <c r="G44" i="1" s="1"/>
  <c r="H35" i="1"/>
  <c r="F150" i="1"/>
  <c r="F133" i="1"/>
  <c r="G295" i="1"/>
  <c r="F299" i="1"/>
  <c r="G299" i="1"/>
  <c r="F423" i="1"/>
  <c r="G413" i="1"/>
  <c r="H386" i="1"/>
  <c r="G391" i="1"/>
  <c r="F107" i="1"/>
  <c r="H184" i="1"/>
  <c r="G354" i="1"/>
  <c r="F26" i="1"/>
  <c r="F44" i="1" s="1"/>
  <c r="F391" i="1"/>
  <c r="D44" i="1"/>
  <c r="H23" i="1"/>
  <c r="H27" i="1"/>
  <c r="G107" i="1"/>
  <c r="H139" i="1"/>
  <c r="H391" i="1"/>
  <c r="H423" i="1"/>
  <c r="G249" i="1"/>
  <c r="F253" i="1"/>
  <c r="G253" i="1" s="1"/>
  <c r="H97" i="1"/>
  <c r="H96" i="1" s="1"/>
  <c r="H95" i="1" s="1"/>
  <c r="H107" i="1" s="1"/>
  <c r="G128" i="1"/>
  <c r="G150" i="1" s="1"/>
  <c r="G175" i="1"/>
  <c r="H133" i="1" l="1"/>
  <c r="H150" i="1" s="1"/>
  <c r="H34" i="1"/>
  <c r="H26" i="1" s="1"/>
  <c r="H44" i="1" s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<sst xmlns="http://schemas.openxmlformats.org/spreadsheetml/2006/main" count="359" uniqueCount="152">
  <si>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</si>
  <si>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</si>
  <si>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</si>
  <si>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</si>
  <si>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</si>
  <si>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</si>
  <si>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</si>
  <si>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</si>
  <si>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</si>
  <si>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</si>
  <si>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</si>
  <si>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</si>
  <si>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</si>
  <si>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</si>
  <si>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</si>
  <si>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</si>
  <si>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</si>
  <si>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</si>
  <si>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</si>
  <si>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</si>
  <si>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</si>
  <si>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</si>
  <si>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</si>
  <si>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</si>
  <si>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</si>
  <si>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</si>
  <si>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</si>
  <si>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</si>
  <si>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</si>
  <si>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</si>
  <si>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</si>
  <si>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</si>
  <si>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</si>
  <si>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</si>
  <si>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</si>
  <si>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</si>
  <si>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</si>
  <si>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</si>
  <si>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</si>
  <si>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</si>
  <si>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</si>
  <si>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</si>
  <si>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</si>
  <si>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</si>
  <si>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</si>
  <si>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</si>
  <si>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</si>
  <si>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</si>
  <si>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</si>
  <si>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</si>
  <si>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</si>
  <si>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</si>
  <si>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</si>
  <si>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</si>
  <si>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</si>
  <si>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</si>
  <si>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</si>
  <si>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</si>
  <si>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</si>
  <si>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</si>
  <si>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</si>
  <si>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</si>
  <si>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</si>
  <si>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</si>
  <si>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</si>
  <si>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</si>
  <si>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</si>
  <si>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</si>
  <si>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</si>
  <si>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</si>
  <si>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</si>
  <si>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</si>
  <si>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</si>
  <si>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</si>
  <si>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</si>
  <si>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</si>
  <si>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</si>
  <si>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</si>
  <si>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</si>
  <si>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</si>
  <si>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</si>
  <si>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</si>
  <si>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</si>
  <si>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</si>
  <si>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</si>
  <si>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</si>
  <si>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</si>
  <si>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</si>
  <si>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</si>
  <si>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</si>
  <si>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</si>
  <si>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</si>
  <si>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</si>
  <si>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</si>
  <si>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</si>
  <si>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</si>
  <si>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</si>
  <si>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</si>
  <si>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</si>
  <si>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</si>
  <si>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</si>
  <si>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</si>
  <si>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</si>
  <si>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</si>
  <si>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</si>
  <si>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</si>
  <si>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</si>
  <si>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</si>
  <si>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</si>
  <si>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</si>
  <si>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</si>
  <si>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</si>
  <si>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</si>
  <si>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</si>
  <si>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</si>
  <si>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</si>
  <si>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</si>
  <si>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</si>
  <si>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</si>
  <si>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</si>
  <si>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</si>
  <si>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</si>
  <si>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</si>
  <si>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</si>
  <si>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</si>
  <si>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</si>
  <si>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</si>
  <si>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</si>
  <si>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</si>
  <si>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</si>
  <si>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</si>
  <si>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</si>
  <si>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</si>
  <si>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</si>
  <si>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</si>
  <si>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</si>
  <si>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</si>
  <si>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</si>
  <si>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</si>
  <si>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</si>
  <si>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</si>
  <si>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</si>
  <si>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</si>
  <si>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</si>
  <si>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t>FANGST UKE 10</t>
  </si>
  <si>
    <t>FANGST T.O.M UKE 10</t>
  </si>
  <si>
    <t>RESTKVOTER UKE 10</t>
  </si>
  <si>
    <t>FANGST T.O.M UKE 10 2023</t>
  </si>
  <si>
    <r>
      <t xml:space="preserve">3 </t>
    </r>
    <r>
      <rPr>
        <sz val="9"/>
        <color indexed="8"/>
        <rFont val="Calibri"/>
        <family val="2"/>
      </rPr>
      <t>Registrert rekreasjonsfiske utgjør 233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</si>
  <si>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17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</si>
  <si>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83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</si>
  <si>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477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</si>
</sst>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4" tint="0.79998168889431442"/>
        <bgColor indexed="65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30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3" fontId="7" fillId="2" borderId="2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2" fillId="0" borderId="3" xfId="0" applyFont="1" applyBorder="1"/>
    <xf numFmtId="0" fontId="8" fillId="0" borderId="4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/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right" vertical="center"/>
    </xf>
    <xf numFmtId="9" fontId="2" fillId="0" borderId="0" xfId="0" applyNumberFormat="1" applyFont="1"/>
    <xf numFmtId="3" fontId="9" fillId="0" borderId="15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left" vertical="center"/>
    </xf>
    <xf numFmtId="3" fontId="14" fillId="0" borderId="1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16" xfId="0" applyFont="1" applyBorder="1" applyAlignment="1">
      <alignment vertical="center" wrapText="1"/>
    </xf>
    <xf numFmtId="3" fontId="2" fillId="0" borderId="17" xfId="0" applyNumberFormat="1" applyFont="1" applyBorder="1" applyAlignment="1">
      <alignment horizontal="right" vertical="center" wrapText="1"/>
    </xf>
    <xf numFmtId="3" fontId="7" fillId="0" borderId="0" xfId="0" applyNumberFormat="1" applyFont="1" applyAlignment="1">
      <alignment vertical="center" wrapText="1"/>
    </xf>
    <xf numFmtId="3" fontId="2" fillId="0" borderId="18" xfId="0" applyNumberFormat="1" applyFont="1" applyBorder="1" applyAlignment="1">
      <alignment horizontal="right" vertical="center" indent="1"/>
    </xf>
    <xf numFmtId="3" fontId="13" fillId="0" borderId="19" xfId="0" applyNumberFormat="1" applyFont="1" applyBorder="1" applyAlignment="1">
      <alignment horizontal="right" vertical="center"/>
    </xf>
    <xf numFmtId="3" fontId="16" fillId="0" borderId="20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vertical="center" wrapText="1"/>
    </xf>
    <xf numFmtId="3" fontId="7" fillId="3" borderId="2" xfId="0" applyNumberFormat="1" applyFont="1" applyFill="1" applyBorder="1" applyAlignment="1">
      <alignment horizontal="right" vertical="center" wrapText="1"/>
    </xf>
    <xf numFmtId="3" fontId="5" fillId="3" borderId="8" xfId="0" applyNumberFormat="1" applyFont="1" applyFill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vertical="center" wrapText="1"/>
    </xf>
    <xf numFmtId="3" fontId="9" fillId="0" borderId="22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0" fontId="2" fillId="0" borderId="21" xfId="0" applyFont="1" applyBorder="1" applyAlignment="1">
      <alignment vertical="center" wrapText="1"/>
    </xf>
    <xf numFmtId="3" fontId="2" fillId="0" borderId="26" xfId="0" applyNumberFormat="1" applyFont="1" applyBorder="1" applyAlignment="1">
      <alignment horizontal="right" vertical="center" wrapText="1"/>
    </xf>
    <xf numFmtId="3" fontId="2" fillId="0" borderId="27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7" fillId="2" borderId="14" xfId="0" applyFont="1" applyFill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3" fontId="17" fillId="0" borderId="2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2" fillId="0" borderId="30" xfId="0" applyFont="1" applyBorder="1"/>
    <xf numFmtId="3" fontId="17" fillId="0" borderId="17" xfId="0" applyNumberFormat="1" applyFont="1" applyBorder="1" applyAlignment="1">
      <alignment horizontal="right" vertical="center" wrapText="1"/>
    </xf>
    <xf numFmtId="0" fontId="18" fillId="0" borderId="23" xfId="0" applyFont="1" applyBorder="1" applyAlignment="1">
      <alignment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19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3" fontId="18" fillId="0" borderId="26" xfId="0" applyNumberFormat="1" applyFont="1" applyBorder="1" applyAlignment="1">
      <alignment horizontal="right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0" fontId="2" fillId="0" borderId="13" xfId="0" applyFont="1" applyBorder="1"/>
    <xf numFmtId="0" fontId="9" fillId="0" borderId="8" xfId="0" applyFont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3" fontId="17" fillId="0" borderId="28" xfId="0" applyNumberFormat="1" applyFont="1" applyBorder="1" applyAlignment="1">
      <alignment horizontal="right" vertical="center" wrapText="1"/>
    </xf>
    <xf numFmtId="3" fontId="7" fillId="2" borderId="32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7" fillId="2" borderId="33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3" fontId="9" fillId="0" borderId="34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/>
    </xf>
    <xf numFmtId="3" fontId="9" fillId="0" borderId="3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3" fontId="13" fillId="0" borderId="22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3" fontId="2" fillId="0" borderId="33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2" borderId="40" xfId="0" applyFont="1" applyFill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right" vertical="center" indent="1"/>
    </xf>
    <xf numFmtId="0" fontId="2" fillId="0" borderId="3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2" fillId="0" borderId="36" xfId="0" applyNumberFormat="1" applyFont="1" applyBorder="1" applyAlignment="1">
      <alignment horizontal="right" vertical="center" indent="1"/>
    </xf>
    <xf numFmtId="0" fontId="2" fillId="0" borderId="7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3" fontId="17" fillId="0" borderId="41" xfId="0" applyNumberFormat="1" applyFont="1" applyBorder="1" applyAlignment="1">
      <alignment horizontal="right" vertical="center" wrapText="1"/>
    </xf>
    <xf numFmtId="0" fontId="2" fillId="0" borderId="42" xfId="0" applyFont="1" applyBorder="1"/>
    <xf numFmtId="3" fontId="9" fillId="0" borderId="8" xfId="0" applyNumberFormat="1" applyFont="1" applyBorder="1" applyAlignment="1">
      <alignment vertical="center"/>
    </xf>
    <xf numFmtId="3" fontId="17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" fillId="0" borderId="1" xfId="0" applyFont="1" applyBorder="1"/>
    <xf numFmtId="3" fontId="23" fillId="0" borderId="0" xfId="0" applyNumberFormat="1" applyFont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0" fontId="10" fillId="0" borderId="42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2" fillId="0" borderId="42" xfId="0" applyFont="1" applyBorder="1" applyAlignment="1">
      <alignment vertical="center"/>
    </xf>
    <xf numFmtId="3" fontId="9" fillId="0" borderId="8" xfId="0" applyNumberFormat="1" applyFont="1" applyBorder="1" applyAlignment="1">
      <alignment horizontal="right" vertical="center" wrapText="1"/>
    </xf>
    <xf numFmtId="0" fontId="9" fillId="0" borderId="3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3" fontId="9" fillId="0" borderId="32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2" xfId="0" applyNumberFormat="1" applyFont="1" applyBorder="1" applyAlignment="1">
      <alignment horizontal="right" vertical="center" wrapText="1"/>
    </xf>
    <xf numFmtId="0" fontId="9" fillId="0" borderId="37" xfId="0" applyFont="1" applyBorder="1" applyAlignment="1">
      <alignment vertical="center"/>
    </xf>
    <xf numFmtId="0" fontId="23" fillId="0" borderId="37" xfId="0" applyFont="1" applyBorder="1" applyAlignment="1">
      <alignment vertical="center"/>
    </xf>
    <xf numFmtId="0" fontId="2" fillId="0" borderId="22" xfId="0" applyFont="1" applyBorder="1"/>
    <xf numFmtId="0" fontId="7" fillId="2" borderId="29" xfId="0" applyFont="1" applyFill="1" applyBorder="1" applyAlignment="1">
      <alignment horizontal="center" vertical="center"/>
    </xf>
    <xf numFmtId="0" fontId="2" fillId="0" borderId="0" xfId="0" applyFont="1"/>
    <xf numFmtId="0" fontId="23" fillId="0" borderId="0" xfId="0" applyFont="1"/>
    <xf numFmtId="3" fontId="9" fillId="0" borderId="12" xfId="0" applyNumberFormat="1" applyFont="1" applyBorder="1" applyAlignment="1">
      <alignment horizontal="right" vertical="center"/>
    </xf>
    <xf numFmtId="0" fontId="2" fillId="0" borderId="4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5" xfId="0" applyFont="1" applyBorder="1"/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2" borderId="29" xfId="0" applyFont="1" applyFill="1" applyBorder="1" applyAlignment="1">
      <alignment vertical="center" wrapText="1"/>
    </xf>
    <xf numFmtId="3" fontId="2" fillId="0" borderId="39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30" xfId="0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1" fillId="0" borderId="4" xfId="0" applyFont="1" applyBorder="1" applyAlignment="1">
      <alignment vertical="center" wrapText="1"/>
    </xf>
    <xf numFmtId="3" fontId="9" fillId="0" borderId="37" xfId="0" applyNumberFormat="1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" fontId="11" fillId="0" borderId="0" xfId="0" applyNumberFormat="1" applyFont="1"/>
    <xf numFmtId="3" fontId="9" fillId="0" borderId="28" xfId="0" applyNumberFormat="1" applyFont="1" applyBorder="1" applyAlignment="1">
      <alignment horizontal="right" vertical="center"/>
    </xf>
    <xf numFmtId="3" fontId="2" fillId="0" borderId="29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2" borderId="8" xfId="0" applyFont="1" applyFill="1" applyBorder="1" applyAlignment="1">
      <alignment horizontal="left" vertical="center" wrapText="1"/>
    </xf>
    <xf numFmtId="0" fontId="9" fillId="0" borderId="45" xfId="0" applyFont="1" applyBorder="1" applyAlignment="1">
      <alignment vertical="center" wrapText="1"/>
    </xf>
    <xf numFmtId="3" fontId="9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8" fillId="0" borderId="2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indent="1"/>
    </xf>
    <xf numFmtId="3" fontId="7" fillId="2" borderId="8" xfId="0" applyNumberFormat="1" applyFont="1" applyFill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3" fontId="18" fillId="0" borderId="28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1" fontId="18" fillId="0" borderId="0" xfId="0" applyNumberFormat="1" applyFont="1" applyAlignment="1">
      <alignment horizontal="right" vertical="center" wrapText="1"/>
    </xf>
    <xf numFmtId="1" fontId="9" fillId="0" borderId="22" xfId="0" applyNumberFormat="1" applyFont="1" applyBorder="1" applyAlignment="1">
      <alignment horizontal="right" vertical="center"/>
    </xf>
    <xf numFmtId="1" fontId="14" fillId="0" borderId="12" xfId="0" applyNumberFormat="1" applyFont="1" applyBorder="1" applyAlignment="1">
      <alignment horizontal="right" vertical="top"/>
    </xf>
    <xf numFmtId="1" fontId="13" fillId="0" borderId="22" xfId="0" applyNumberFormat="1" applyFont="1" applyBorder="1" applyAlignment="1">
      <alignment vertical="center"/>
    </xf>
    <xf numFmtId="1" fontId="9" fillId="0" borderId="38" xfId="0" applyNumberFormat="1" applyFont="1" applyBorder="1" applyAlignment="1">
      <alignment horizontal="right" vertical="center"/>
    </xf>
    <xf numFmtId="1" fontId="14" fillId="0" borderId="36" xfId="0" applyNumberFormat="1" applyFont="1" applyBorder="1" applyAlignment="1">
      <alignment horizontal="right" vertical="top"/>
    </xf>
    <xf numFmtId="1" fontId="13" fillId="0" borderId="38" xfId="0" applyNumberFormat="1" applyFont="1" applyBorder="1" applyAlignment="1">
      <alignment vertical="center"/>
    </xf>
    <xf numFmtId="0" fontId="2" fillId="0" borderId="4" xfId="0" applyFont="1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" fontId="27" fillId="0" borderId="8" xfId="0" applyNumberFormat="1" applyFont="1" applyBorder="1" applyAlignment="1">
      <alignment horizontal="right" vertical="center" inden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9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" fillId="0" borderId="33" xfId="0" applyFont="1" applyBorder="1" applyAlignment="1">
      <alignment vertical="top" wrapText="1"/>
    </xf>
    <xf numFmtId="3" fontId="9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2" fillId="0" borderId="0" xfId="0" applyNumberFormat="1" applyFont="1"/>
    <xf numFmtId="0" fontId="22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3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10" fillId="0" borderId="5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11" fillId="0" borderId="10" xfId="0" applyFont="1" applyBorder="1" applyAlignment="1">
      <alignment vertical="center" wrapText="1"/>
    </xf>
    <xf numFmtId="0" fontId="10" fillId="0" borderId="53" xfId="0" applyFont="1" applyBorder="1" applyAlignment="1">
      <alignment horizontal="center" vertical="center"/>
    </xf>
    <xf numFmtId="0" fontId="2" fillId="0" borderId="10" xfId="0" applyFont="1" applyBorder="1"/>
    <xf numFmtId="0" fontId="32" fillId="0" borderId="13" xfId="0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3" fontId="9" fillId="0" borderId="20" xfId="0" applyNumberFormat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3" fontId="2" fillId="0" borderId="33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39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0" fontId="7" fillId="2" borderId="29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0" fontId="11" fillId="0" borderId="39" xfId="0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3" fontId="2" fillId="0" borderId="47" xfId="0" applyNumberFormat="1" applyFont="1" applyBorder="1" applyAlignment="1">
      <alignment horizontal="right" vertical="center" indent="1"/>
    </xf>
    <xf numFmtId="3" fontId="23" fillId="0" borderId="24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 wrapText="1"/>
    </xf>
    <xf numFmtId="0" fontId="2" fillId="0" borderId="28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9" fillId="0" borderId="6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3" fontId="16" fillId="0" borderId="34" xfId="0" applyNumberFormat="1" applyFont="1" applyBorder="1" applyAlignment="1">
      <alignment vertical="center"/>
    </xf>
    <xf numFmtId="3" fontId="9" fillId="0" borderId="3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3" borderId="8" xfId="0" applyFont="1" applyFill="1" applyBorder="1" applyAlignment="1">
      <alignment horizontal="left" vertical="center" wrapText="1"/>
    </xf>
    <xf numFmtId="3" fontId="7" fillId="3" borderId="32" xfId="0" applyNumberFormat="1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3" fontId="33" fillId="0" borderId="0" xfId="0" applyNumberFormat="1" applyFont="1" applyAlignment="1">
      <alignment horizontal="right" vertical="center" wrapText="1"/>
    </xf>
    <xf numFmtId="0" fontId="10" fillId="0" borderId="0" xfId="0" applyFont="1"/>
    <xf numFmtId="3" fontId="2" fillId="0" borderId="37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3" fontId="9" fillId="0" borderId="37" xfId="0" applyNumberFormat="1" applyFont="1" applyBorder="1" applyAlignment="1">
      <alignment horizontal="right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 vertical="top" wrapText="1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</cellXfs>
  <cellStyles count="2">
    <cellStyle name="20 % - uthevingsfarge 1" xfId="1" xr:uid="{50A1569F-F6E2-4D97-97AC-002401EABE0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85" zoomScaleNormal="85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2" t="s">
        <v>123</v>
      </c>
      <c r="C2" s="303"/>
      <c r="D2" s="303"/>
      <c r="E2" s="303"/>
      <c r="F2" s="303"/>
      <c r="G2" s="303"/>
      <c r="H2" s="303"/>
      <c r="I2" s="303"/>
      <c r="J2" s="30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301" t="s">
        <v>142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144</v>
      </c>
      <c r="G22" s="68" t="s">
        <v>145</v>
      </c>
      <c r="H22" s="68" t="s">
        <v>146</v>
      </c>
      <c r="I22" s="68" t="s">
        <v>147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1032.3560500000001</v>
      </c>
      <c r="G23" s="28">
        <f t="shared" si="0"/>
        <v>20667.060249999999</v>
      </c>
      <c r="H23" s="11">
        <f t="shared" si="0"/>
        <v>40144.939749999998</v>
      </c>
      <c r="I23" s="11">
        <f t="shared" si="0"/>
        <v>24243.46081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1029.82705</f>
        <v>1029.8270500000001</v>
      </c>
      <c r="G24" s="23">
        <f>20472.80275</f>
        <v>20472.802749999999</v>
      </c>
      <c r="H24" s="23">
        <f>E24-G24</f>
        <v>39569.197249999997</v>
      </c>
      <c r="I24" s="23">
        <f>24187.75831</f>
        <v>24187.758310000001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2.529</f>
        <v>2.5289999999999999</v>
      </c>
      <c r="G25" s="23">
        <f>194.2575</f>
        <v>194.25749999999999</v>
      </c>
      <c r="H25" s="23">
        <f>E25-G25</f>
        <v>575.74250000000006</v>
      </c>
      <c r="I25" s="23">
        <f>55.7025</f>
        <v>55.702500000000001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12992.126319999999</v>
      </c>
      <c r="G26" s="11">
        <f t="shared" si="1"/>
        <v>61378.639890000006</v>
      </c>
      <c r="H26" s="11">
        <f t="shared" si="1"/>
        <v>83495.360109999994</v>
      </c>
      <c r="I26" s="11">
        <f t="shared" si="1"/>
        <v>54970.343080000006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10442.93079</v>
      </c>
      <c r="G27" s="132">
        <f t="shared" ref="G27:I27" si="2">G28+G29+G30+G31+G32</f>
        <v>52361.104180000009</v>
      </c>
      <c r="H27" s="132">
        <f t="shared" si="2"/>
        <v>60616.895819999991</v>
      </c>
      <c r="I27" s="132">
        <f t="shared" si="2"/>
        <v>43815.317020000002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4079.8061</f>
        <v>4079.8060999999998</v>
      </c>
      <c r="G28" s="127">
        <f>12012.69716 - F56</f>
        <v>12012.69716</v>
      </c>
      <c r="H28" s="127">
        <f t="shared" ref="H28:H40" si="3">E28-G28</f>
        <v>16617.30284</v>
      </c>
      <c r="I28" s="127">
        <f>9800.93718 - H56</f>
        <v>9800.9371800000008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3219.83702</f>
        <v>3219.8370199999999</v>
      </c>
      <c r="G29" s="127">
        <f>15341.098 - F57</f>
        <v>15341.098</v>
      </c>
      <c r="H29" s="127">
        <f t="shared" si="3"/>
        <v>14323.902</v>
      </c>
      <c r="I29" s="127">
        <f>13285.09936 - H57</f>
        <v>13285.09936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2127.82259</f>
        <v>2127.8225900000002</v>
      </c>
      <c r="G30" s="127">
        <f>13552.18749 - F58</f>
        <v>13552.18749</v>
      </c>
      <c r="H30" s="127">
        <f t="shared" si="3"/>
        <v>13691.81251</v>
      </c>
      <c r="I30" s="127">
        <f>10941.0699 - H58</f>
        <v>10941.0699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1015.46508</f>
        <v>1015.4650799999999</v>
      </c>
      <c r="G31" s="127">
        <f>11455.12153 - F59</f>
        <v>11455.12153</v>
      </c>
      <c r="H31" s="127">
        <f t="shared" si="3"/>
        <v>7883.8784699999997</v>
      </c>
      <c r="I31" s="127">
        <f>9788.21058 - H59</f>
        <v>9788.2105800000008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328.09069</f>
        <v>328.09069</v>
      </c>
      <c r="G33" s="132">
        <f>4467.37248</f>
        <v>4467.37248</v>
      </c>
      <c r="H33" s="132">
        <f t="shared" si="3"/>
        <v>12391.62752</v>
      </c>
      <c r="I33" s="132">
        <f>6869.95013</f>
        <v>6869.9501300000002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2221.10484</v>
      </c>
      <c r="G34" s="132">
        <f>G35+G36</f>
        <v>4550.1632300000001</v>
      </c>
      <c r="H34" s="132">
        <f t="shared" si="3"/>
        <v>10486.83677</v>
      </c>
      <c r="I34" s="132">
        <f>I35+I36</f>
        <v>4285.07593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2221.10484</f>
        <v>2221.10484</v>
      </c>
      <c r="G35" s="132">
        <f>4975.16323 - F60 - F61</f>
        <v>4550.1632300000001</v>
      </c>
      <c r="H35" s="127">
        <f t="shared" si="3"/>
        <v>9526.8367699999999</v>
      </c>
      <c r="I35" s="127">
        <f>4285.07593 - H60 - H61</f>
        <v>4285.07593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26.2392</f>
        <v>26.2392</v>
      </c>
      <c r="G37" s="139">
        <f>26.2392</f>
        <v>26.2392</v>
      </c>
      <c r="H37" s="139">
        <f t="shared" si="3"/>
        <v>1973.7608</v>
      </c>
      <c r="I37" s="139">
        <f>5.5736</f>
        <v>5.5735999999999999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62.91271</f>
        <v>62.912709999999997</v>
      </c>
      <c r="G38" s="98">
        <f>189.00339</f>
        <v>189.00339</v>
      </c>
      <c r="H38" s="98">
        <f t="shared" si="3"/>
        <v>665.99661000000003</v>
      </c>
      <c r="I38" s="98">
        <f>114.64203</f>
        <v>114.64203000000001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233</v>
      </c>
      <c r="G39" s="98">
        <f>F61</f>
        <v>425</v>
      </c>
      <c r="H39" s="98">
        <f t="shared" si="3"/>
        <v>2575</v>
      </c>
      <c r="I39" s="98">
        <f>H61</f>
        <v>0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112.11997</f>
        <v>112.11997</v>
      </c>
      <c r="G40" s="98">
        <v>7000</v>
      </c>
      <c r="H40" s="98">
        <f t="shared" si="3"/>
        <v>0</v>
      </c>
      <c r="I40" s="98"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26.938</f>
        <v>26.937999999999999</v>
      </c>
      <c r="G41" s="98">
        <f>38.0695</f>
        <v>38.069499999999998</v>
      </c>
      <c r="H41" s="98">
        <f>E41-G41</f>
        <v>361.93049999999999</v>
      </c>
      <c r="I41" s="98">
        <f>23.5699</f>
        <v>23.569900000000001</v>
      </c>
      <c r="J41" s="243"/>
    </row>
    <row r="42" spans="1:13" ht="17.25" customHeight="1" x14ac:dyDescent="0.25">
      <c r="A42" s="1"/>
      <c r="B42" s="253"/>
      <c r="C42" s="73" t="s">
        <v>130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10.751</f>
        <v>10.750999999999999</v>
      </c>
      <c r="G43" s="139">
        <f>28.3425</f>
        <v>28.342500000000001</v>
      </c>
      <c r="H43" s="139">
        <f t="shared" ref="H43" si="4">E43-G43</f>
        <v>-28.342500000000001</v>
      </c>
      <c r="I43" s="139">
        <f>13.4575</f>
        <v>13.4575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14496.44325</v>
      </c>
      <c r="G44" s="76">
        <f t="shared" si="5"/>
        <v>89752.358729999993</v>
      </c>
      <c r="H44" s="76">
        <f t="shared" si="5"/>
        <v>129288.64127000001</v>
      </c>
      <c r="I44" s="76">
        <f t="shared" si="5"/>
        <v>86371.046920000023</v>
      </c>
      <c r="J44" s="243"/>
    </row>
    <row r="45" spans="1:13" ht="14.1" customHeight="1" x14ac:dyDescent="0.25">
      <c r="A45" s="101"/>
      <c r="B45" s="24"/>
      <c r="C45" s="77" t="s">
        <v>131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148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132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144</v>
      </c>
      <c r="F54" s="68" t="s">
        <v>145</v>
      </c>
      <c r="G54" s="68" t="s">
        <v>146</v>
      </c>
      <c r="H54" s="68" t="s">
        <v>147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11">
        <f>E59+E58+E57+E56</f>
        <v>0</v>
      </c>
      <c r="F55" s="11">
        <f>F59+F58+F57+F56</f>
        <v>0</v>
      </c>
      <c r="G55" s="295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296"/>
      <c r="E56" s="127"/>
      <c r="F56" s="127"/>
      <c r="G56" s="296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296"/>
      <c r="E57" s="127"/>
      <c r="F57" s="127"/>
      <c r="G57" s="296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296"/>
      <c r="E58" s="127"/>
      <c r="F58" s="127"/>
      <c r="G58" s="296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297"/>
      <c r="E59" s="192"/>
      <c r="F59" s="192"/>
      <c r="G59" s="297"/>
      <c r="H59" s="192"/>
      <c r="I59" s="257"/>
      <c r="J59" s="243"/>
    </row>
    <row r="60" spans="1:10" ht="14.1" customHeight="1" thickBot="1" x14ac:dyDescent="0.3">
      <c r="A60" s="101"/>
      <c r="B60" s="24"/>
      <c r="C60" s="88" t="s">
        <v>46</v>
      </c>
      <c r="D60" s="95">
        <v>960</v>
      </c>
      <c r="E60" s="95">
        <v>0</v>
      </c>
      <c r="F60" s="95">
        <v>0</v>
      </c>
      <c r="G60" s="95">
        <f>D60-F60</f>
        <v>960</v>
      </c>
      <c r="H60" s="95">
        <v>0</v>
      </c>
      <c r="I60" s="257"/>
      <c r="J60" s="243"/>
    </row>
    <row r="61" spans="1:10" ht="14.1" customHeight="1" thickBot="1" x14ac:dyDescent="0.3">
      <c r="A61" s="101"/>
      <c r="B61" s="24"/>
      <c r="C61" s="142" t="s">
        <v>47</v>
      </c>
      <c r="D61" s="139">
        <v>3000</v>
      </c>
      <c r="E61" s="139">
        <v>233</v>
      </c>
      <c r="F61" s="139">
        <v>425</v>
      </c>
      <c r="G61" s="139">
        <f>D61-F61</f>
        <v>2575</v>
      </c>
      <c r="H61" s="139"/>
      <c r="I61" s="257"/>
      <c r="J61" s="243"/>
    </row>
    <row r="62" spans="1:10" ht="14.1" customHeight="1" x14ac:dyDescent="0.25">
      <c r="A62" s="101"/>
      <c r="B62" s="24"/>
      <c r="C62" s="77" t="s">
        <v>133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22.25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143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144</v>
      </c>
      <c r="G91" s="15" t="s">
        <v>145</v>
      </c>
      <c r="H91" s="15" t="s">
        <v>146</v>
      </c>
      <c r="I91" s="15" t="s">
        <v>147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2587.2439099999997</v>
      </c>
      <c r="G92" s="11">
        <f t="shared" si="6"/>
        <v>10591.998009999999</v>
      </c>
      <c r="H92" s="11">
        <f t="shared" si="6"/>
        <v>15369.001990000001</v>
      </c>
      <c r="I92" s="11">
        <f t="shared" si="6"/>
        <v>5237.8928400000004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2581.90431</f>
        <v>2581.9043099999999</v>
      </c>
      <c r="G93" s="23">
        <f>10377.22401</f>
        <v>10377.22401</v>
      </c>
      <c r="H93" s="23">
        <f>E93-G93</f>
        <v>14758.77599</v>
      </c>
      <c r="I93" s="23">
        <f>5185.89264</f>
        <v>5185.89264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5.3396</f>
        <v>5.3395999999999999</v>
      </c>
      <c r="G94" s="50">
        <f>214.774</f>
        <v>214.774</v>
      </c>
      <c r="H94" s="50">
        <f>E94-G94</f>
        <v>610.226</v>
      </c>
      <c r="I94" s="50">
        <f>52.0002</f>
        <v>52.0002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2033.6308300000001</v>
      </c>
      <c r="G95" s="11">
        <f t="shared" si="7"/>
        <v>11766.854530000001</v>
      </c>
      <c r="H95" s="11">
        <f t="shared" si="7"/>
        <v>37227.145469999996</v>
      </c>
      <c r="I95" s="11">
        <f t="shared" si="7"/>
        <v>7590.07456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1643.1918000000001</v>
      </c>
      <c r="G96" s="132">
        <f t="shared" si="8"/>
        <v>7531.5656399999998</v>
      </c>
      <c r="H96" s="132">
        <f t="shared" si="8"/>
        <v>29962.434359999999</v>
      </c>
      <c r="I96" s="132">
        <f t="shared" si="8"/>
        <v>4254.7051099999999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284.92812</f>
        <v>284.92811999999998</v>
      </c>
      <c r="G97" s="127">
        <f>2322.09284</f>
        <v>2322.0928399999998</v>
      </c>
      <c r="H97" s="127">
        <f t="shared" ref="H97:H104" si="9">E97-G97</f>
        <v>7692.9071600000007</v>
      </c>
      <c r="I97" s="127">
        <f>1141.66373</f>
        <v>1141.66373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554.54354</f>
        <v>554.54354000000001</v>
      </c>
      <c r="G98" s="127">
        <f>2887.55765</f>
        <v>2887.5576500000002</v>
      </c>
      <c r="H98" s="127">
        <f t="shared" si="9"/>
        <v>7726.4423499999994</v>
      </c>
      <c r="I98" s="127">
        <f>1452.40493</f>
        <v>1452.4049299999999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656.22693</f>
        <v>656.22693000000004</v>
      </c>
      <c r="G99" s="127">
        <f>1699.63711</f>
        <v>1699.6371099999999</v>
      </c>
      <c r="H99" s="127">
        <f t="shared" si="9"/>
        <v>8412.3628900000003</v>
      </c>
      <c r="I99" s="127">
        <f>1001.19023</f>
        <v>1001.19023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147.49321</f>
        <v>147.49321</v>
      </c>
      <c r="G100" s="127">
        <f>622.27804</f>
        <v>622.27804000000003</v>
      </c>
      <c r="H100" s="127">
        <f t="shared" si="9"/>
        <v>6130.7219599999999</v>
      </c>
      <c r="I100" s="127">
        <f>659.44622</f>
        <v>659.44622000000004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249.02398</f>
        <v>249.02397999999999</v>
      </c>
      <c r="G101" s="132">
        <f>3164.47056</f>
        <v>3164.4705600000002</v>
      </c>
      <c r="H101" s="132">
        <f t="shared" si="9"/>
        <v>4431.5294400000002</v>
      </c>
      <c r="I101" s="132">
        <f>2716.1346</f>
        <v>2716.1345999999999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141.41505</f>
        <v>141.41505000000001</v>
      </c>
      <c r="G102" s="75">
        <f>1070.81833</f>
        <v>1070.8183300000001</v>
      </c>
      <c r="H102" s="75">
        <f t="shared" si="9"/>
        <v>2833.1816699999999</v>
      </c>
      <c r="I102" s="75">
        <f>619.23485</f>
        <v>619.23485000000005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2.56921</f>
        <v>2.56921</v>
      </c>
      <c r="G103" s="98">
        <f>17.18487</f>
        <v>17.18487</v>
      </c>
      <c r="H103" s="98">
        <f t="shared" si="9"/>
        <v>301.81513000000001</v>
      </c>
      <c r="I103" s="98">
        <f>5.50281</f>
        <v>5.5028100000000002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5.20433</f>
        <v>5.2043299999999997</v>
      </c>
      <c r="G104" s="139">
        <v>300</v>
      </c>
      <c r="H104" s="139">
        <f t="shared" si="9"/>
        <v>0</v>
      </c>
      <c r="I104" s="139"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0.33619</f>
        <v>0.33618999999999999</v>
      </c>
      <c r="G105" s="98">
        <f>5.62299</f>
        <v>5.6229899999999997</v>
      </c>
      <c r="H105" s="139">
        <f>E105-G105</f>
        <v>44.377009999999999</v>
      </c>
      <c r="I105" s="98">
        <f>3.36866</f>
        <v>3.3686600000000002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</f>
        <v>0</v>
      </c>
      <c r="G106" s="139">
        <f>2.9723</f>
        <v>2.9723000000000002</v>
      </c>
      <c r="H106" s="139">
        <f t="shared" ref="H106" si="10">E106-G106</f>
        <v>-2.9723000000000002</v>
      </c>
      <c r="I106" s="139">
        <f>7.89468</f>
        <v>7.8946800000000001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4628.9844699999985</v>
      </c>
      <c r="G107" s="76">
        <f t="shared" si="12"/>
        <v>22684.632700000002</v>
      </c>
      <c r="H107" s="76">
        <f t="shared" si="12"/>
        <v>52939.367299999991</v>
      </c>
      <c r="I107" s="76">
        <f t="shared" si="12"/>
        <v>13144.733550000001</v>
      </c>
      <c r="J107" s="243"/>
    </row>
    <row r="108" spans="1:10" ht="13.5" customHeight="1" x14ac:dyDescent="0.25">
      <c r="A108" s="1"/>
      <c r="B108" s="253"/>
      <c r="C108" s="77" t="s">
        <v>134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149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135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144</v>
      </c>
      <c r="G127" s="15" t="s">
        <v>145</v>
      </c>
      <c r="H127" s="15" t="s">
        <v>146</v>
      </c>
      <c r="I127" s="15" t="s">
        <v>147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2482.9649399999998</v>
      </c>
      <c r="G128" s="11">
        <f t="shared" si="13"/>
        <v>16310.852879999999</v>
      </c>
      <c r="H128" s="11">
        <f t="shared" si="13"/>
        <v>55996.147120000001</v>
      </c>
      <c r="I128" s="11">
        <f t="shared" si="13"/>
        <v>22358.568020000002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2065.31994</f>
        <v>2065.3199399999999</v>
      </c>
      <c r="G129" s="23">
        <f>14310.55773</f>
        <v>14310.55773</v>
      </c>
      <c r="H129" s="23">
        <f>E129-G129</f>
        <v>43251.44227</v>
      </c>
      <c r="I129" s="23">
        <f>19554.67107</f>
        <v>19554.67107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416.907</f>
        <v>416.90699999999998</v>
      </c>
      <c r="G130" s="23">
        <f>1937.763</f>
        <v>1937.7629999999999</v>
      </c>
      <c r="H130" s="23">
        <f>E130-G130</f>
        <v>12307.237000000001</v>
      </c>
      <c r="I130" s="23">
        <f>2693.6847</f>
        <v>2693.6846999999998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0.738</f>
        <v>0.73799999999999999</v>
      </c>
      <c r="G131" s="23">
        <f>62.53215</f>
        <v>62.532150000000001</v>
      </c>
      <c r="H131" s="55">
        <f>E131-G131</f>
        <v>437.46785</v>
      </c>
      <c r="I131" s="23">
        <f>110.21225</f>
        <v>110.21225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0</f>
        <v>0</v>
      </c>
      <c r="G132" s="95">
        <f>18.09185+477.48868</f>
        <v>495.58053000000001</v>
      </c>
      <c r="H132" s="95">
        <f>E132-G132</f>
        <v>52000.419470000001</v>
      </c>
      <c r="I132" s="95">
        <f>13.31695</f>
        <v>13.31695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3575.7338599999998</v>
      </c>
      <c r="G133" s="94">
        <f t="shared" ref="G133" si="14">G134+G139+G142</f>
        <v>30128.991540000003</v>
      </c>
      <c r="H133" s="94">
        <f>H134+H139+H142</f>
        <v>50036.008460000005</v>
      </c>
      <c r="I133" s="94">
        <f>I134+I139+I142</f>
        <v>26887.879359999999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2962.0018700000001</v>
      </c>
      <c r="G134" s="125">
        <f>G135+G136+G138+G137</f>
        <v>24051.960960000004</v>
      </c>
      <c r="H134" s="125">
        <f>H135+H136+H137+H138</f>
        <v>35027.039040000003</v>
      </c>
      <c r="I134" s="125">
        <f>I135+I136+I137+I138</f>
        <v>23804.73576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452.34478</f>
        <v>452.34478000000001</v>
      </c>
      <c r="G135" s="127">
        <v>4627.9355800000003</v>
      </c>
      <c r="H135" s="127">
        <f>E135-G135</f>
        <v>13146.064419999999</v>
      </c>
      <c r="I135" s="127">
        <f>3777.266</f>
        <v>3777.2660000000001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768.36935</f>
        <v>768.36935000000005</v>
      </c>
      <c r="G136" s="127">
        <v>8162.0298199999997</v>
      </c>
      <c r="H136" s="127">
        <f>E136-G136</f>
        <v>6776.9701800000003</v>
      </c>
      <c r="I136" s="127">
        <f>7391.3883</f>
        <v>7391.3882999999996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635.47168</f>
        <v>635.47167999999999</v>
      </c>
      <c r="G137" s="127">
        <v>5833.36427</v>
      </c>
      <c r="H137" s="127">
        <f>E137-G137</f>
        <v>7217.63573</v>
      </c>
      <c r="I137" s="127">
        <f>5655.94525</f>
        <v>5655.9452499999998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1105.81606</f>
        <v>1105.8160600000001</v>
      </c>
      <c r="G138" s="127">
        <v>5428.6312900000003</v>
      </c>
      <c r="H138" s="127">
        <f>E138-G138</f>
        <v>7886.3687099999997</v>
      </c>
      <c r="I138" s="127">
        <f>6980.13621</f>
        <v>6980.1362099999997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360.88274999999999</v>
      </c>
      <c r="G139" s="132">
        <f>SUM(G140:G141)</f>
        <v>4242.58691</v>
      </c>
      <c r="H139" s="132">
        <f>H140+H141</f>
        <v>4687.41309</v>
      </c>
      <c r="I139" s="132">
        <f>SUM(I140:I141)</f>
        <v>1695.26234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351.3951</f>
        <v>351.39510000000001</v>
      </c>
      <c r="G140" s="127">
        <f>4139.40179</f>
        <v>4139.4017899999999</v>
      </c>
      <c r="H140" s="127">
        <f t="shared" ref="H140:H148" si="15">E140-G140</f>
        <v>4290.5982100000001</v>
      </c>
      <c r="I140" s="127">
        <f>1632.2273</f>
        <v>1632.2273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9.48765</f>
        <v>9.4876500000000004</v>
      </c>
      <c r="G141" s="127">
        <f>103.18512</f>
        <v>103.18512</v>
      </c>
      <c r="H141" s="127">
        <f t="shared" si="15"/>
        <v>396.81488000000002</v>
      </c>
      <c r="I141" s="127">
        <f>63.03504</f>
        <v>63.035040000000002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252.84924</f>
        <v>252.84924000000001</v>
      </c>
      <c r="G142" s="75">
        <f>1834.44367</f>
        <v>1834.4436700000001</v>
      </c>
      <c r="H142" s="75">
        <f t="shared" si="15"/>
        <v>10321.556329999999</v>
      </c>
      <c r="I142" s="75">
        <f>1387.88126</f>
        <v>1387.8812600000001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0.88515</f>
        <v>0.88514999999999999</v>
      </c>
      <c r="G143" s="139">
        <f>6.34757</f>
        <v>6.3475700000000002</v>
      </c>
      <c r="H143" s="139">
        <f t="shared" si="15"/>
        <v>139.65243000000001</v>
      </c>
      <c r="I143" s="139">
        <f>5.19735</f>
        <v>5.1973500000000001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0</f>
        <v>0</v>
      </c>
      <c r="H144" s="98">
        <f t="shared" si="15"/>
        <v>250</v>
      </c>
      <c r="I144" s="98">
        <f>0</f>
        <v>0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21.12435</f>
        <v>21.12435</v>
      </c>
      <c r="G145" s="139">
        <v>2000</v>
      </c>
      <c r="H145" s="139">
        <f t="shared" si="15"/>
        <v>0</v>
      </c>
      <c r="I145" s="139"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5.15028</f>
        <v>5.1502800000000004</v>
      </c>
      <c r="G147" s="98">
        <f>17.89638</f>
        <v>17.896380000000001</v>
      </c>
      <c r="H147" s="139">
        <f t="shared" si="15"/>
        <v>258.10361999999998</v>
      </c>
      <c r="I147" s="98">
        <f>16.09975</f>
        <v>16.09975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</f>
        <v>0</v>
      </c>
      <c r="G148" s="139">
        <f>35.1765</f>
        <v>35.176499999999997</v>
      </c>
      <c r="H148" s="139">
        <f t="shared" si="15"/>
        <v>-35.176499999999997</v>
      </c>
      <c r="I148" s="139">
        <f>60.1708</f>
        <v>60.1708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6085.8585800000001</v>
      </c>
      <c r="G150" s="76">
        <f>G128+G132+G133+G143+G144+G145+G146+G147+G148</f>
        <v>48994.845399999998</v>
      </c>
      <c r="H150" s="76">
        <f>H128+H132+H133+H143+H144+H145+H146+H147+H148</f>
        <v>158645.15460000001</v>
      </c>
      <c r="I150" s="76">
        <f>I128+I132+I133+I143+I144+I145+I146+I147+I148</f>
        <v>51341.232230000009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136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150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137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144</v>
      </c>
      <c r="F174" s="15" t="s">
        <v>145</v>
      </c>
      <c r="G174" s="54" t="s">
        <v>146</v>
      </c>
      <c r="H174" s="15" t="s">
        <v>147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6.48567</f>
        <v>6.4856699999999998</v>
      </c>
      <c r="F175" s="275">
        <f>242.70086</f>
        <v>242.70086000000001</v>
      </c>
      <c r="G175" s="43">
        <f>D175-F175-F176</f>
        <v>3763.6745300000002</v>
      </c>
      <c r="H175" s="275">
        <f>280.86434</f>
        <v>280.86434000000003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58.2694</f>
        <v>58.269399999999997</v>
      </c>
      <c r="F176" s="152">
        <f>216.62461</f>
        <v>216.62460999999999</v>
      </c>
      <c r="G176" s="216"/>
      <c r="H176" s="152">
        <f>169.72708</f>
        <v>169.72708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0.38982</f>
        <v>0.38982</v>
      </c>
      <c r="F177" s="172">
        <f>0.9541</f>
        <v>0.95409999999999995</v>
      </c>
      <c r="G177" s="172">
        <f>D177-F177</f>
        <v>199.04589999999999</v>
      </c>
      <c r="H177" s="172">
        <f>19.02122</f>
        <v>19.02122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9.0894700000000004</v>
      </c>
      <c r="F178" s="181">
        <f>F179+F180+F181</f>
        <v>20.98171</v>
      </c>
      <c r="G178" s="181">
        <f>D178-F178</f>
        <v>6313.01829</v>
      </c>
      <c r="H178" s="181">
        <f>H179+H180+H181</f>
        <v>3.9168800000000004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5.99203</f>
        <v>5.9920299999999997</v>
      </c>
      <c r="F179" s="127">
        <f>7.94457</f>
        <v>7.9445699999999997</v>
      </c>
      <c r="G179" s="127"/>
      <c r="H179" s="127">
        <f>0.6076</f>
        <v>0.60760000000000003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1.93808</f>
        <v>1.93808</v>
      </c>
      <c r="F180" s="127">
        <f>6.93054</f>
        <v>6.9305399999999997</v>
      </c>
      <c r="G180" s="127"/>
      <c r="H180" s="127">
        <f>2.24772</f>
        <v>2.2477200000000002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1.15936</f>
        <v>1.1593599999999999</v>
      </c>
      <c r="F181" s="192">
        <f>6.1066</f>
        <v>6.1066000000000003</v>
      </c>
      <c r="G181" s="192"/>
      <c r="H181" s="192">
        <f>1.06156</f>
        <v>1.0615600000000001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74.234360000000009</v>
      </c>
      <c r="F184" s="194">
        <f>F175+F176+F177+F178+F182+F183</f>
        <v>481.26128</v>
      </c>
      <c r="G184" s="194">
        <f>D184-F184</f>
        <v>10341.738719999999</v>
      </c>
      <c r="H184" s="194">
        <f>H175+H176+H177+H178+H182+H183</f>
        <v>473.52952000000005</v>
      </c>
      <c r="I184" s="163"/>
      <c r="J184" s="160"/>
    </row>
    <row r="185" spans="1:10" ht="42" customHeight="1" x14ac:dyDescent="0.25">
      <c r="A185" s="1"/>
      <c r="B185" s="198"/>
      <c r="C185" s="226" t="s">
        <v>118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124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125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128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144</v>
      </c>
      <c r="F203" s="68" t="s">
        <v>145</v>
      </c>
      <c r="G203" s="68" t="s">
        <v>146</v>
      </c>
      <c r="H203" s="68" t="s">
        <v>147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220.85184</f>
        <v>220.85184000000001</v>
      </c>
      <c r="F204" s="124">
        <f>12403.45704</f>
        <v>12403.457039999999</v>
      </c>
      <c r="G204" s="124">
        <f>D204-F204</f>
        <v>33878.542959999999</v>
      </c>
      <c r="H204" s="124">
        <f>5791.30071</f>
        <v>5791.3007100000004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0.21258</f>
        <v>0.21257999999999999</v>
      </c>
      <c r="F205" s="124">
        <f>1.24445</f>
        <v>1.2444500000000001</v>
      </c>
      <c r="G205" s="124">
        <f>D205-F205</f>
        <v>98.755549999999999</v>
      </c>
      <c r="H205" s="124">
        <f>0.5215</f>
        <v>0.52149999999999996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221.06442000000001</v>
      </c>
      <c r="F207" s="190">
        <f>SUM(F204:F206)</f>
        <v>12404.701489999999</v>
      </c>
      <c r="G207" s="190">
        <f>D207-F207</f>
        <v>34013.298510000001</v>
      </c>
      <c r="H207" s="190">
        <f>SUM(H204:H206)</f>
        <v>5791.8222100000003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119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144</v>
      </c>
      <c r="F248" s="68" t="s">
        <v>145</v>
      </c>
      <c r="G248" s="68" t="s">
        <v>146</v>
      </c>
      <c r="H248" s="68" t="s">
        <v>147</v>
      </c>
      <c r="I248" s="1"/>
      <c r="J248" s="120"/>
    </row>
    <row r="249" spans="1:10" ht="15" customHeight="1" x14ac:dyDescent="0.25">
      <c r="A249" s="1"/>
      <c r="B249" s="253"/>
      <c r="C249" s="90" t="s">
        <v>126</v>
      </c>
      <c r="D249" s="124">
        <v>3987</v>
      </c>
      <c r="E249" s="75">
        <f>E250+E251</f>
        <v>57.509</v>
      </c>
      <c r="F249" s="75">
        <f>F250+F251</f>
        <v>740.95607999999993</v>
      </c>
      <c r="G249" s="75">
        <f>D249-F249</f>
        <v>3246.0439200000001</v>
      </c>
      <c r="H249" s="75">
        <f>H250+H251</f>
        <v>432.80543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37.7144</f>
        <v>37.714399999999998</v>
      </c>
      <c r="F250" s="75">
        <f>545.13518</f>
        <v>545.13517999999999</v>
      </c>
      <c r="G250" s="75"/>
      <c r="H250" s="75">
        <f>244.42005</f>
        <v>244.42005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19.7946</f>
        <v>19.794599999999999</v>
      </c>
      <c r="F251" s="124">
        <f>195.8209</f>
        <v>195.82089999999999</v>
      </c>
      <c r="G251" s="168"/>
      <c r="H251" s="124">
        <f>188.38538</f>
        <v>188.38538</v>
      </c>
      <c r="I251" s="247"/>
      <c r="J251" s="120"/>
    </row>
    <row r="252" spans="1:10" ht="15" customHeight="1" x14ac:dyDescent="0.25">
      <c r="A252" s="1"/>
      <c r="B252" s="253"/>
      <c r="C252" s="90" t="s">
        <v>127</v>
      </c>
      <c r="D252" s="124">
        <v>4613</v>
      </c>
      <c r="E252" s="75">
        <f>232.38296</f>
        <v>232.38296</v>
      </c>
      <c r="F252" s="75">
        <f>1104.64699</f>
        <v>1104.64699</v>
      </c>
      <c r="G252" s="75">
        <f>D252-F252</f>
        <v>3508.3530099999998</v>
      </c>
      <c r="H252" s="75">
        <f>919.78816</f>
        <v>919.78815999999995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SUM(E249:E252)</f>
        <v>347.40096</v>
      </c>
      <c r="F253" s="190">
        <f>SUM(F249:F252)</f>
        <v>2586.55915</v>
      </c>
      <c r="G253" s="190">
        <f>D253-F253</f>
        <v>6013.44085</v>
      </c>
      <c r="H253" s="190">
        <f>SUM(H249:H252)</f>
        <v>1785.3990199999998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120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144</v>
      </c>
      <c r="F294" s="68" t="s">
        <v>145</v>
      </c>
      <c r="G294" s="68" t="s">
        <v>146</v>
      </c>
      <c r="H294" s="68" t="s">
        <v>147</v>
      </c>
      <c r="I294" s="1"/>
      <c r="J294" s="120"/>
    </row>
    <row r="295" spans="1:10" ht="15" customHeight="1" x14ac:dyDescent="0.25">
      <c r="A295" s="1"/>
      <c r="B295" s="253"/>
      <c r="C295" s="90" t="s">
        <v>126</v>
      </c>
      <c r="D295" s="124">
        <v>5090</v>
      </c>
      <c r="E295" s="75">
        <f>E296+E297</f>
        <v>26.566549999999999</v>
      </c>
      <c r="F295" s="75">
        <f>F296+F297</f>
        <v>549.43066999999996</v>
      </c>
      <c r="G295" s="75">
        <f>D295-F295</f>
        <v>4540.5693300000003</v>
      </c>
      <c r="H295" s="75">
        <f>H296+H297</f>
        <v>339.79136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13.3672</f>
        <v>13.3672</v>
      </c>
      <c r="F296" s="75">
        <f>432.01355</f>
        <v>432.01355000000001</v>
      </c>
      <c r="G296" s="75"/>
      <c r="H296" s="75">
        <f>232.7051</f>
        <v>232.70509999999999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13.19935</f>
        <v>13.199350000000001</v>
      </c>
      <c r="F297" s="124">
        <f>117.41712</f>
        <v>117.41712</v>
      </c>
      <c r="G297" s="168"/>
      <c r="H297" s="124">
        <f>107.08626</f>
        <v>107.08626</v>
      </c>
      <c r="I297" s="247"/>
      <c r="J297" s="120"/>
    </row>
    <row r="298" spans="1:10" ht="15" customHeight="1" x14ac:dyDescent="0.25">
      <c r="A298" s="1"/>
      <c r="B298" s="253"/>
      <c r="C298" s="90" t="s">
        <v>127</v>
      </c>
      <c r="D298" s="124">
        <v>2981</v>
      </c>
      <c r="E298" s="75">
        <f>204.5594</f>
        <v>204.55940000000001</v>
      </c>
      <c r="F298" s="75">
        <f>814.35088</f>
        <v>814.35087999999996</v>
      </c>
      <c r="G298" s="75">
        <f>D298-F298</f>
        <v>2166.64912</v>
      </c>
      <c r="H298" s="75">
        <f>643.49178</f>
        <v>643.49177999999995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SUM(E295:E298)</f>
        <v>257.6925</v>
      </c>
      <c r="F299" s="190">
        <f>SUM(F295:F298)</f>
        <v>1913.2122199999999</v>
      </c>
      <c r="G299" s="190">
        <f>D299-F299</f>
        <v>6157.7877800000006</v>
      </c>
      <c r="H299" s="190">
        <f>SUM(H295:H298)</f>
        <v>1323.0744999999999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129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144</v>
      </c>
      <c r="F349" s="68" t="s">
        <v>145</v>
      </c>
      <c r="G349" s="68" t="s">
        <v>146</v>
      </c>
      <c r="H349" s="68" t="s">
        <v>147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7.4919</f>
        <v>7.4919000000000002</v>
      </c>
      <c r="F350" s="124">
        <f>90.19028</f>
        <v>90.190280000000001</v>
      </c>
      <c r="G350" s="124">
        <f>D350-F350</f>
        <v>709.80971999999997</v>
      </c>
      <c r="H350" s="124">
        <f>68.97224</f>
        <v>68.972239999999999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11.60924</f>
        <v>11.60924</v>
      </c>
      <c r="F351" s="124">
        <f>291.17721</f>
        <v>291.17721</v>
      </c>
      <c r="G351" s="124">
        <f>D351-F351</f>
        <v>2749.8227900000002</v>
      </c>
      <c r="H351" s="124">
        <f>335.09921</f>
        <v>335.09921000000003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0.61006</f>
        <v>0.61006000000000005</v>
      </c>
      <c r="G352" s="124">
        <f>D352-F352</f>
        <v>9.3899399999999993</v>
      </c>
      <c r="H352" s="168">
        <f>0.09004</f>
        <v>9.0039999999999995E-2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0.047</f>
        <v>4.7E-2</v>
      </c>
      <c r="F353" s="168">
        <f>0.047</f>
        <v>4.7E-2</v>
      </c>
      <c r="G353" s="124">
        <f>D353-F353</f>
        <v>-4.7E-2</v>
      </c>
      <c r="H353" s="168">
        <f>0.135</f>
        <v>0.13500000000000001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19.148140000000001</v>
      </c>
      <c r="F354" s="190">
        <f>SUM(F350:F353)</f>
        <v>382.02454999999998</v>
      </c>
      <c r="G354" s="190">
        <f>D354-F354</f>
        <v>3468.9754499999999</v>
      </c>
      <c r="H354" s="190">
        <f>H350+H351+H352+H353</f>
        <v>404.29649000000001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140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141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144</v>
      </c>
      <c r="G379" s="222" t="s">
        <v>145</v>
      </c>
      <c r="H379" s="222" t="s">
        <v>146</v>
      </c>
      <c r="I379" s="222" t="s">
        <v>147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745.47566000000006</v>
      </c>
      <c r="G380" s="252">
        <f t="shared" si="17"/>
        <v>3447.4279399999996</v>
      </c>
      <c r="H380" s="252">
        <f>H384+H383+H382+H381</f>
        <v>19521.572059999999</v>
      </c>
      <c r="I380" s="252">
        <f t="shared" si="17"/>
        <v>2256.6276800000001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636.48788</f>
        <v>636.48788000000002</v>
      </c>
      <c r="G381" s="256">
        <f>2903.68389</f>
        <v>2903.6838899999998</v>
      </c>
      <c r="H381" s="256">
        <f t="shared" ref="H381:H385" si="18">E381-G381</f>
        <v>10286.31611</v>
      </c>
      <c r="I381" s="256">
        <f>1500.13294</f>
        <v>1500.13294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90.2475</f>
        <v>90.247500000000002</v>
      </c>
      <c r="G382" s="256">
        <f>128.52</f>
        <v>128.52000000000001</v>
      </c>
      <c r="H382" s="256">
        <f t="shared" si="18"/>
        <v>3304.48</v>
      </c>
      <c r="I382" s="256">
        <f>432</f>
        <v>432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18.20388</f>
        <v>18.203880000000002</v>
      </c>
      <c r="G383" s="256">
        <f>398.79985</f>
        <v>398.79984999999999</v>
      </c>
      <c r="H383" s="256">
        <f t="shared" si="18"/>
        <v>1084.2001500000001</v>
      </c>
      <c r="I383" s="256">
        <f>303.63494</f>
        <v>303.63493999999997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0.5364</f>
        <v>0.53639999999999999</v>
      </c>
      <c r="G384" s="256">
        <f>16.4242</f>
        <v>16.424199999999999</v>
      </c>
      <c r="H384" s="256">
        <f t="shared" si="18"/>
        <v>4846.5757999999996</v>
      </c>
      <c r="I384" s="256">
        <f>20.8598</f>
        <v>20.8598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0</f>
        <v>0</v>
      </c>
      <c r="G385" s="267">
        <f>0.971</f>
        <v>0.97099999999999997</v>
      </c>
      <c r="H385" s="267">
        <f t="shared" si="18"/>
        <v>5499.0290000000005</v>
      </c>
      <c r="I385" s="267">
        <f>18.501</f>
        <v>18.501000000000001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35.742699999999999</v>
      </c>
      <c r="G386" s="268">
        <f>G388+G387</f>
        <v>1110.5741600000001</v>
      </c>
      <c r="H386" s="268">
        <f>E386-G386</f>
        <v>6889.4258399999999</v>
      </c>
      <c r="I386" s="268">
        <f>I388+I387</f>
        <v>1322.4321500000001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0</f>
        <v>0</v>
      </c>
      <c r="G387" s="256">
        <f>517.07376</f>
        <v>517.07375999999999</v>
      </c>
      <c r="H387" s="256"/>
      <c r="I387" s="256">
        <f>742.5736</f>
        <v>742.57360000000006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35.7427</f>
        <v>35.742699999999999</v>
      </c>
      <c r="G388" s="277">
        <f>593.5004</f>
        <v>593.50040000000001</v>
      </c>
      <c r="H388" s="277"/>
      <c r="I388" s="277">
        <f>579.85855</f>
        <v>579.85855000000004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0.0264</f>
        <v>2.64E-2</v>
      </c>
      <c r="H389" s="267">
        <f>E389-G389</f>
        <v>12.973599999999999</v>
      </c>
      <c r="I389" s="267">
        <f>0.0567</f>
        <v>5.67E-2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0.1134</f>
        <v>0.1134</v>
      </c>
      <c r="G390" s="267">
        <f>2.8874</f>
        <v>2.8874</v>
      </c>
      <c r="H390" s="267">
        <f>E390-G390</f>
        <v>-2.8874</v>
      </c>
      <c r="I390" s="267">
        <f>1.9024</f>
        <v>1.9024000000000001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781.33176000000003</v>
      </c>
      <c r="G391" s="286">
        <f t="shared" si="19"/>
        <v>4561.8868999999986</v>
      </c>
      <c r="H391" s="286">
        <f>H380+H385+H386+H389+H390</f>
        <v>31920.113100000002</v>
      </c>
      <c r="I391" s="286">
        <f t="shared" si="19"/>
        <v>3599.5199300000004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139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138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291" t="s">
        <v>121</v>
      </c>
      <c r="D407" s="291"/>
      <c r="E407" s="291"/>
      <c r="F407" s="291"/>
      <c r="G407" s="291"/>
      <c r="H407" s="291"/>
      <c r="I407" s="150"/>
      <c r="J407" s="130"/>
    </row>
    <row r="408" spans="1:10" ht="14.1" customHeight="1" x14ac:dyDescent="0.25">
      <c r="A408" s="217"/>
      <c r="B408" s="72"/>
      <c r="C408" s="291"/>
      <c r="D408" s="291"/>
      <c r="E408" s="291"/>
      <c r="F408" s="291"/>
      <c r="G408" s="291"/>
      <c r="H408" s="291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144</v>
      </c>
      <c r="F412" s="20" t="s">
        <v>145</v>
      </c>
      <c r="G412" s="25" t="s">
        <v>146</v>
      </c>
      <c r="H412" s="20" t="s">
        <v>147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1838.2897400000002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395.39864</f>
        <v>395.39864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1222.8699799999999</v>
      </c>
      <c r="G416" s="85">
        <f>D416-F416</f>
        <v>-162.86997999999994</v>
      </c>
      <c r="H416" s="26">
        <f>SUM(H417:H418)</f>
        <v>1893.54342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983.72829</f>
        <v>983.72829000000002</v>
      </c>
      <c r="G417" s="97"/>
      <c r="H417" s="30">
        <f>1541.7145</f>
        <v>1541.7145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239.14169</f>
        <v>239.14169000000001</v>
      </c>
      <c r="G418" s="108"/>
      <c r="H418" s="30">
        <f>351.82892</f>
        <v>351.82891999999998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60.039550000000006</v>
      </c>
      <c r="F419" s="36">
        <f>SUM(F420:F421)</f>
        <v>73.168049999999994</v>
      </c>
      <c r="G419" s="85">
        <f>D419-F419</f>
        <v>1161.83195</v>
      </c>
      <c r="H419" s="36">
        <f>SUM(H420:H421)</f>
        <v>257.84255999999999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42.6554</f>
        <v>42.6554</v>
      </c>
      <c r="F420" s="30">
        <f>54.0099</f>
        <v>54.009900000000002</v>
      </c>
      <c r="G420" s="97"/>
      <c r="H420" s="30">
        <f>197.80886</f>
        <v>197.80886000000001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17.38415</f>
        <v>17.384150000000002</v>
      </c>
      <c r="F421" s="30">
        <f>19.15815</f>
        <v>19.158149999999999</v>
      </c>
      <c r="G421" s="108"/>
      <c r="H421" s="30">
        <f>60.0337</f>
        <v>60.033700000000003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60.039550000000006</v>
      </c>
      <c r="F423" s="40">
        <f>F413+F416+F419+F422</f>
        <v>2284.4392600000001</v>
      </c>
      <c r="G423" s="41"/>
      <c r="H423" s="40">
        <f>H413+H416+H419+H422</f>
        <v>3989.6757200000002</v>
      </c>
      <c r="I423" s="27"/>
      <c r="J423" s="130"/>
    </row>
    <row r="424" spans="1:10" ht="42" customHeight="1" x14ac:dyDescent="0.25">
      <c r="A424" s="217"/>
      <c r="B424" s="72"/>
      <c r="C424" s="292" t="s">
        <v>122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17:H17"/>
    <mergeCell ref="B2:J2"/>
    <mergeCell ref="B9:J9"/>
    <mergeCell ref="C11:D11"/>
    <mergeCell ref="E11:F11"/>
    <mergeCell ref="G11:H11"/>
    <mergeCell ref="C407:H408"/>
    <mergeCell ref="C424:J424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10&amp;R11.03.2024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2024-03-11T11:26:43Z</dcterms:modified>
</cp:coreProperties>
</file>