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E926B546-15D1-4ECE-BC05-997C14E52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22" i="1"/>
  <c r="G422" i="1"/>
  <c r="F422" i="1"/>
  <c r="E422" i="1"/>
  <c r="H421" i="1"/>
  <c r="F421" i="1"/>
  <c r="F419" i="1" s="1"/>
  <c r="G419" i="1" s="1"/>
  <c r="E421" i="1"/>
  <c r="E419" i="1" s="1"/>
  <c r="H420" i="1"/>
  <c r="H419" i="1" s="1"/>
  <c r="F420" i="1"/>
  <c r="E420" i="1"/>
  <c r="H418" i="1"/>
  <c r="F418" i="1"/>
  <c r="E418" i="1"/>
  <c r="H417" i="1"/>
  <c r="F417" i="1"/>
  <c r="F416" i="1" s="1"/>
  <c r="G416" i="1" s="1"/>
  <c r="E417" i="1"/>
  <c r="E416" i="1" s="1"/>
  <c r="H416" i="1"/>
  <c r="H415" i="1"/>
  <c r="F415" i="1"/>
  <c r="E415" i="1"/>
  <c r="H414" i="1"/>
  <c r="F414" i="1"/>
  <c r="F413" i="1" s="1"/>
  <c r="E414" i="1"/>
  <c r="E413" i="1" s="1"/>
  <c r="H413" i="1"/>
  <c r="D391" i="1"/>
  <c r="I390" i="1"/>
  <c r="H390" i="1"/>
  <c r="G390" i="1"/>
  <c r="F390" i="1"/>
  <c r="I389" i="1"/>
  <c r="H389" i="1"/>
  <c r="G389" i="1"/>
  <c r="F389" i="1"/>
  <c r="I388" i="1"/>
  <c r="I386" i="1" s="1"/>
  <c r="G388" i="1"/>
  <c r="G386" i="1" s="1"/>
  <c r="H386" i="1" s="1"/>
  <c r="F388" i="1"/>
  <c r="I387" i="1"/>
  <c r="G387" i="1"/>
  <c r="F387" i="1"/>
  <c r="F386" i="1"/>
  <c r="I385" i="1"/>
  <c r="H385" i="1"/>
  <c r="G385" i="1"/>
  <c r="F385" i="1"/>
  <c r="I384" i="1"/>
  <c r="G384" i="1"/>
  <c r="H384" i="1" s="1"/>
  <c r="H380" i="1" s="1"/>
  <c r="H391" i="1" s="1"/>
  <c r="F384" i="1"/>
  <c r="F380" i="1" s="1"/>
  <c r="F391" i="1" s="1"/>
  <c r="I383" i="1"/>
  <c r="H383" i="1"/>
  <c r="G383" i="1"/>
  <c r="F383" i="1"/>
  <c r="I382" i="1"/>
  <c r="G382" i="1"/>
  <c r="H382" i="1" s="1"/>
  <c r="F382" i="1"/>
  <c r="I381" i="1"/>
  <c r="H381" i="1"/>
  <c r="G381" i="1"/>
  <c r="F381" i="1"/>
  <c r="I380" i="1"/>
  <c r="I391" i="1" s="1"/>
  <c r="G380" i="1"/>
  <c r="G391" i="1" s="1"/>
  <c r="D380" i="1"/>
  <c r="H372" i="1"/>
  <c r="F372" i="1"/>
  <c r="H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H249" i="1" s="1"/>
  <c r="H253" i="1" s="1"/>
  <c r="F251" i="1"/>
  <c r="F249" i="1" s="1"/>
  <c r="E251" i="1"/>
  <c r="E249" i="1" s="1"/>
  <c r="E253" i="1" s="1"/>
  <c r="H250" i="1"/>
  <c r="F250" i="1"/>
  <c r="E250" i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E178" i="1" s="1"/>
  <c r="H178" i="1"/>
  <c r="H177" i="1"/>
  <c r="G177" i="1"/>
  <c r="F177" i="1"/>
  <c r="E177" i="1"/>
  <c r="E184" i="1" s="1"/>
  <c r="H176" i="1"/>
  <c r="F176" i="1"/>
  <c r="E176" i="1"/>
  <c r="H175" i="1"/>
  <c r="H184" i="1" s="1"/>
  <c r="F175" i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H139" i="1" s="1"/>
  <c r="G141" i="1"/>
  <c r="F141" i="1"/>
  <c r="I140" i="1"/>
  <c r="H140" i="1"/>
  <c r="G140" i="1"/>
  <c r="G139" i="1" s="1"/>
  <c r="F140" i="1"/>
  <c r="F139" i="1" s="1"/>
  <c r="I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I133" i="1" s="1"/>
  <c r="F134" i="1"/>
  <c r="F133" i="1" s="1"/>
  <c r="E134" i="1"/>
  <c r="D134" i="1"/>
  <c r="E133" i="1"/>
  <c r="E150" i="1" s="1"/>
  <c r="D133" i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I150" i="1" s="1"/>
  <c r="G129" i="1"/>
  <c r="H129" i="1" s="1"/>
  <c r="H128" i="1" s="1"/>
  <c r="F129" i="1"/>
  <c r="F128" i="1" s="1"/>
  <c r="E128" i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F96" i="1" s="1"/>
  <c r="F95" i="1" s="1"/>
  <c r="I96" i="1"/>
  <c r="I95" i="1" s="1"/>
  <c r="G96" i="1"/>
  <c r="G95" i="1" s="1"/>
  <c r="E96" i="1"/>
  <c r="D96" i="1"/>
  <c r="E95" i="1"/>
  <c r="D95" i="1"/>
  <c r="I94" i="1"/>
  <c r="G94" i="1"/>
  <c r="H94" i="1" s="1"/>
  <c r="F94" i="1"/>
  <c r="I93" i="1"/>
  <c r="I92" i="1" s="1"/>
  <c r="G93" i="1"/>
  <c r="G92" i="1" s="1"/>
  <c r="G107" i="1" s="1"/>
  <c r="F93" i="1"/>
  <c r="F92" i="1"/>
  <c r="F107" i="1" s="1"/>
  <c r="E92" i="1"/>
  <c r="E107" i="1" s="1"/>
  <c r="D92" i="1"/>
  <c r="D107" i="1" s="1"/>
  <c r="C89" i="1"/>
  <c r="H85" i="1"/>
  <c r="F85" i="1"/>
  <c r="D85" i="1"/>
  <c r="G61" i="1"/>
  <c r="G60" i="1"/>
  <c r="H55" i="1"/>
  <c r="I32" i="1" s="1"/>
  <c r="F55" i="1"/>
  <c r="G32" i="1" s="1"/>
  <c r="E55" i="1"/>
  <c r="I43" i="1"/>
  <c r="H43" i="1"/>
  <c r="G43" i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E35" i="1"/>
  <c r="D34" i="1"/>
  <c r="I33" i="1"/>
  <c r="H33" i="1"/>
  <c r="G33" i="1"/>
  <c r="F33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F27" i="1" s="1"/>
  <c r="E27" i="1"/>
  <c r="D27" i="1"/>
  <c r="D26" i="1" s="1"/>
  <c r="E26" i="1"/>
  <c r="I25" i="1"/>
  <c r="H25" i="1"/>
  <c r="H23" i="1" s="1"/>
  <c r="G25" i="1"/>
  <c r="F25" i="1"/>
  <c r="I24" i="1"/>
  <c r="I23" i="1" s="1"/>
  <c r="H24" i="1"/>
  <c r="G24" i="1"/>
  <c r="G23" i="1" s="1"/>
  <c r="F24" i="1"/>
  <c r="F23" i="1"/>
  <c r="E23" i="1"/>
  <c r="E44" i="1" s="1"/>
  <c r="D23" i="1"/>
  <c r="H16" i="1"/>
  <c r="F16" i="1"/>
  <c r="D16" i="1"/>
  <c r="H134" i="1" l="1"/>
  <c r="H133" i="1" s="1"/>
  <c r="F34" i="1"/>
  <c r="F26" i="1" s="1"/>
  <c r="F44" i="1" s="1"/>
  <c r="I34" i="1"/>
  <c r="I26" i="1" s="1"/>
  <c r="I44" i="1" s="1"/>
  <c r="H150" i="1"/>
  <c r="H423" i="1"/>
  <c r="E423" i="1"/>
  <c r="G413" i="1"/>
  <c r="F423" i="1"/>
  <c r="I27" i="1"/>
  <c r="D44" i="1"/>
  <c r="I107" i="1"/>
  <c r="F184" i="1"/>
  <c r="H92" i="1"/>
  <c r="G184" i="1"/>
  <c r="G295" i="1"/>
  <c r="F299" i="1"/>
  <c r="G27" i="1"/>
  <c r="H32" i="1"/>
  <c r="H27" i="1" s="1"/>
  <c r="H96" i="1"/>
  <c r="H95" i="1" s="1"/>
  <c r="F150" i="1"/>
  <c r="G249" i="1"/>
  <c r="F253" i="1"/>
  <c r="G253" i="1" s="1"/>
  <c r="G299" i="1"/>
  <c r="G354" i="1"/>
  <c r="H93" i="1"/>
  <c r="G128" i="1"/>
  <c r="G175" i="1"/>
  <c r="G55" i="1"/>
  <c r="F207" i="1"/>
  <c r="G207" i="1" s="1"/>
  <c r="G34" i="1"/>
  <c r="G134" i="1"/>
  <c r="G133" i="1" s="1"/>
  <c r="G350" i="1"/>
  <c r="H107" i="1" l="1"/>
  <c r="G150" i="1"/>
  <c r="G26" i="1"/>
  <c r="G44" i="1" s="1"/>
  <c r="H34" i="1"/>
  <c r="H26" i="1" s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<sst xmlns="http://schemas.openxmlformats.org/spreadsheetml/2006/main" count="359" uniqueCount="152">
  <si>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</si>
  <si>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</si>
  <si>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</si>
  <si>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</si>
  <si>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</si>
  <si>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</si>
  <si>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</si>
  <si>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</si>
  <si>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</si>
  <si>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</si>
  <si>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</si>
  <si>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</si>
  <si>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</si>
  <si>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</si>
  <si>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</si>
  <si>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</si>
  <si>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</si>
  <si>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</si>
  <si>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</si>
  <si>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</si>
  <si>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</si>
  <si>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</si>
  <si>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</si>
  <si>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</si>
  <si>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</si>
  <si>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</si>
  <si>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</si>
  <si>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</si>
  <si>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</si>
  <si>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</si>
  <si>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</si>
  <si>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</si>
  <si>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</si>
  <si>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</si>
  <si>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</si>
  <si>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</si>
  <si>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</si>
  <si>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</si>
  <si>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</si>
  <si>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</si>
  <si>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</si>
  <si>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</si>
  <si>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</si>
  <si>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</si>
  <si>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</si>
  <si>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</si>
  <si>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</si>
  <si>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</si>
  <si>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</si>
  <si>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</si>
  <si>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</si>
  <si>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</si>
  <si>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</si>
  <si>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</si>
  <si>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</si>
  <si>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</si>
  <si>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</si>
  <si>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</si>
  <si>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</si>
  <si>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</si>
  <si>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</si>
  <si>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</si>
  <si>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</si>
  <si>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</si>
  <si>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</si>
  <si>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</si>
  <si>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</si>
  <si>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</si>
  <si>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</si>
  <si>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</si>
  <si>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</si>
  <si>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</si>
  <si>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</si>
  <si>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</si>
  <si>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</si>
  <si>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</si>
  <si>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</si>
  <si>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</si>
  <si>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</si>
  <si>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</si>
  <si>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</si>
  <si>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</si>
  <si>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</si>
  <si>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</si>
  <si>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</si>
  <si>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</si>
  <si>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</si>
  <si>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</si>
  <si>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</si>
  <si>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</si>
  <si>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</si>
  <si>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</si>
  <si>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</si>
  <si>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</si>
  <si>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</si>
  <si>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</si>
  <si>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</si>
  <si>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</si>
  <si>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</si>
  <si>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</si>
  <si>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</si>
  <si>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</si>
  <si>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</si>
  <si>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</si>
  <si>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</si>
  <si>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</si>
  <si>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</si>
  <si>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</si>
  <si>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</si>
  <si>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</si>
  <si>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</si>
  <si>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</si>
  <si>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</si>
  <si>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</si>
  <si>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</si>
  <si>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</si>
  <si>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</si>
  <si>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</si>
  <si>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</si>
  <si>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</si>
  <si>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</si>
  <si>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</si>
  <si>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</si>
  <si>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</si>
  <si>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</si>
  <si>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</si>
  <si>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</si>
  <si>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</si>
  <si>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</si>
  <si>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</si>
  <si>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</si>
  <si>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</si>
  <si>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</si>
  <si>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</si>
  <si>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</si>
  <si>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</si>
  <si>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</si>
  <si>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</si>
  <si>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</si>
  <si>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</si>
  <si>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</si>
  <si>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</si>
  <si>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</si>
  <si>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</si>
  <si>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46 tonn, men det legges til grunn at hele avsetningen tas</t>
  </si>
  <si>
    <t>4 Registrert rekreasjonsfiske utgjør 205 tonn, men det legges til grunn at hele avsetningen tas</t>
  </si>
  <si>
    <t>3 Registrert rekreasjonsfiske utgjør 602 tonn, men det legges til grunn at hele avsetningen tas</t>
  </si>
  <si>
    <t>FANGST UKE 22</t>
  </si>
  <si>
    <t>FANGST T.O.M UKE 22</t>
  </si>
  <si>
    <t>RESTKVOTER UKE 22</t>
  </si>
  <si>
    <t>FANGST T.O.M UKE 22 2023</t>
  </si>
  <si>
    <r>
      <t>3</t>
    </r>
    <r>
      <rPr>
        <sz val="9"/>
        <color indexed="8"/>
        <rFont val="Calibri"/>
        <family val="2"/>
      </rPr>
      <t xml:space="preserve"> Det er fisket 1 731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</si>
</sst>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7" zoomScale="85" zoomScaleNormal="85" zoomScaleSheetLayoutView="100" zoomScalePageLayoutView="85" workbookViewId="0">
      <selection activeCell="E28" sqref="E28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109.791</v>
      </c>
      <c r="G23" s="28">
        <f t="shared" si="0"/>
        <v>35916.950360000003</v>
      </c>
      <c r="H23" s="11">
        <f t="shared" si="0"/>
        <v>24895.049640000001</v>
      </c>
      <c r="I23" s="11">
        <f t="shared" si="0"/>
        <v>44157.357040000003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109.791</f>
        <v>109.791</v>
      </c>
      <c r="G24" s="23">
        <f>35455.92557</f>
        <v>35455.925569999999</v>
      </c>
      <c r="H24" s="23">
        <f>E24-G24</f>
        <v>24586.074430000001</v>
      </c>
      <c r="I24" s="23">
        <f>43924.0693</f>
        <v>43924.069300000003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461.02479</f>
        <v>461.02479</v>
      </c>
      <c r="H25" s="23">
        <f>E25-G25</f>
        <v>308.97521</v>
      </c>
      <c r="I25" s="23">
        <f>233.28774</f>
        <v>233.28774000000001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972.13222999999994</v>
      </c>
      <c r="G26" s="11">
        <f t="shared" si="1"/>
        <v>113754.05779000001</v>
      </c>
      <c r="H26" s="11">
        <f t="shared" si="1"/>
        <v>31119.942210000001</v>
      </c>
      <c r="I26" s="11">
        <f t="shared" si="1"/>
        <v>161064.92967000001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359.18501999999995</v>
      </c>
      <c r="G27" s="132">
        <f t="shared" ref="G27:I27" si="2">G28+G29+G30+G31+G32</f>
        <v>93831.746490000005</v>
      </c>
      <c r="H27" s="132">
        <f t="shared" si="2"/>
        <v>19146.253509999999</v>
      </c>
      <c r="I27" s="132">
        <f t="shared" si="2"/>
        <v>128806.13581000001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92.4552</f>
        <v>92.455200000000005</v>
      </c>
      <c r="G28" s="127">
        <f>25070.55976 - F56</f>
        <v>25070.55976</v>
      </c>
      <c r="H28" s="127">
        <f t="shared" ref="H28:H40" si="3">E28-G28</f>
        <v>3559.4402399999999</v>
      </c>
      <c r="I28" s="127">
        <f>35521.29132 - H56</f>
        <v>35521.291319999997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137.15483</f>
        <v>137.15483</v>
      </c>
      <c r="G29" s="127">
        <f>26374.99086 - F57</f>
        <v>26374.990860000002</v>
      </c>
      <c r="H29" s="127">
        <f t="shared" si="3"/>
        <v>3290.0091399999983</v>
      </c>
      <c r="I29" s="127">
        <f>36365.86816 - H57</f>
        <v>36365.868159999998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102.48175</f>
        <v>102.48175000000001</v>
      </c>
      <c r="G30" s="127">
        <f>24604.82942 - F58</f>
        <v>24604.829419999998</v>
      </c>
      <c r="H30" s="127">
        <f t="shared" si="3"/>
        <v>2639.1705800000018</v>
      </c>
      <c r="I30" s="127">
        <f>33626.83579 - H58</f>
        <v>33626.835789999997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27.09324</f>
        <v>27.093240000000002</v>
      </c>
      <c r="G31" s="127">
        <f>17781.36645 - F59</f>
        <v>17781.366450000001</v>
      </c>
      <c r="H31" s="127">
        <f t="shared" si="3"/>
        <v>1557.6335499999986</v>
      </c>
      <c r="I31" s="127">
        <f>23292.14054 - H59</f>
        <v>23292.14054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415.00814</f>
        <v>415.00814000000003</v>
      </c>
      <c r="G33" s="132">
        <f>8834.29385</f>
        <v>8834.29385</v>
      </c>
      <c r="H33" s="132">
        <f t="shared" si="3"/>
        <v>8024.70615</v>
      </c>
      <c r="I33" s="132">
        <f>13158.11094</f>
        <v>13158.11094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197.93906999999999</v>
      </c>
      <c r="G34" s="132">
        <f>G35+G36</f>
        <v>11088.017449999999</v>
      </c>
      <c r="H34" s="132">
        <f t="shared" si="3"/>
        <v>3948.9825500000006</v>
      </c>
      <c r="I34" s="132">
        <f>I35+I36</f>
        <v>19100.682919999999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197.93907</f>
        <v>197.93906999999999</v>
      </c>
      <c r="G35" s="132">
        <f>13565.01745 - F60 - F61</f>
        <v>11088.017449999999</v>
      </c>
      <c r="H35" s="127">
        <f t="shared" si="3"/>
        <v>2988.9825500000006</v>
      </c>
      <c r="I35" s="127">
        <f>22895.68292 - H60 - H61</f>
        <v>19100.682919999999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317.8892</f>
        <v>317.88920000000002</v>
      </c>
      <c r="H37" s="139">
        <f t="shared" si="3"/>
        <v>1682.1107999999999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4.73075</f>
        <v>4.7307499999999996</v>
      </c>
      <c r="G38" s="98">
        <f>453.91817</f>
        <v>453.91816999999998</v>
      </c>
      <c r="H38" s="98">
        <f t="shared" si="3"/>
        <v>401.08183000000002</v>
      </c>
      <c r="I38" s="98">
        <f>464.06382</f>
        <v>464.06382000000002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45</v>
      </c>
      <c r="G39" s="98">
        <f>F61</f>
        <v>2477</v>
      </c>
      <c r="H39" s="98">
        <f t="shared" si="3"/>
        <v>523</v>
      </c>
      <c r="I39" s="98">
        <f>H61</f>
        <v>3795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12.72533</f>
        <v>12.72533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2.1911</f>
        <v>2.1911</v>
      </c>
      <c r="G41" s="98">
        <f>313.31961</f>
        <v>313.31961000000001</v>
      </c>
      <c r="H41" s="98">
        <f>E41-G41</f>
        <v>86.680389999999989</v>
      </c>
      <c r="I41" s="98">
        <f>330.92785</f>
        <v>330.92784999999998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106.14526</f>
        <v>106.14525999999999</v>
      </c>
      <c r="H43" s="139">
        <f t="shared" ref="H43" si="4">E43-G43</f>
        <v>-106.14525999999999</v>
      </c>
      <c r="I43" s="139">
        <f>58.50967</f>
        <v>58.50967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1146.5704099999998</v>
      </c>
      <c r="G44" s="76">
        <f t="shared" si="5"/>
        <v>160339.28438999999</v>
      </c>
      <c r="H44" s="76">
        <f t="shared" si="5"/>
        <v>58701.715610000014</v>
      </c>
      <c r="I44" s="76">
        <f t="shared" si="5"/>
        <v>217617.57965000003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45</v>
      </c>
      <c r="F61" s="139">
        <v>2477</v>
      </c>
      <c r="G61" s="139">
        <f>D61-F61</f>
        <v>523</v>
      </c>
      <c r="H61" s="139">
        <v>3795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4.7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74.989599999999996</v>
      </c>
      <c r="G92" s="11">
        <f t="shared" si="6"/>
        <v>22618.055679999998</v>
      </c>
      <c r="H92" s="11">
        <f t="shared" si="6"/>
        <v>3342.9443200000014</v>
      </c>
      <c r="I92" s="11">
        <f t="shared" si="6"/>
        <v>38399.345239999995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74.9896</f>
        <v>74.989599999999996</v>
      </c>
      <c r="G93" s="23">
        <f>21846.68123</f>
        <v>21846.681229999998</v>
      </c>
      <c r="H93" s="23">
        <f>E93-G93</f>
        <v>3289.3187700000017</v>
      </c>
      <c r="I93" s="23">
        <f>37905.1493</f>
        <v>37905.149299999997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771.37445</f>
        <v>771.37445000000002</v>
      </c>
      <c r="H94" s="50">
        <f>E94-G94</f>
        <v>53.625549999999976</v>
      </c>
      <c r="I94" s="50">
        <f>494.19594</f>
        <v>494.19594000000001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1533.5049999999999</v>
      </c>
      <c r="G95" s="11">
        <f t="shared" si="7"/>
        <v>26837.002889999992</v>
      </c>
      <c r="H95" s="11">
        <f t="shared" si="7"/>
        <v>22156.99711</v>
      </c>
      <c r="I95" s="11">
        <f t="shared" si="7"/>
        <v>17999.458290000002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1288.4232400000001</v>
      </c>
      <c r="G96" s="132">
        <f t="shared" si="8"/>
        <v>20477.493389999996</v>
      </c>
      <c r="H96" s="132">
        <f t="shared" si="8"/>
        <v>17016.50661</v>
      </c>
      <c r="I96" s="132">
        <f t="shared" si="8"/>
        <v>12426.16632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134.81987</f>
        <v>134.81987000000001</v>
      </c>
      <c r="G97" s="127">
        <f>3827.6443</f>
        <v>3827.6442999999999</v>
      </c>
      <c r="H97" s="127">
        <f t="shared" ref="H97:H104" si="9">E97-G97</f>
        <v>6187.3557000000001</v>
      </c>
      <c r="I97" s="127">
        <f>2177.65416</f>
        <v>2177.65416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461.26927</f>
        <v>461.26927000000001</v>
      </c>
      <c r="G98" s="127">
        <f>6737.06979</f>
        <v>6737.0697899999996</v>
      </c>
      <c r="H98" s="127">
        <f t="shared" si="9"/>
        <v>3876.9302100000004</v>
      </c>
      <c r="I98" s="127">
        <f>3920.74963</f>
        <v>3920.7496299999998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386.46467</f>
        <v>386.46467000000001</v>
      </c>
      <c r="G99" s="127">
        <f>6509.6309</f>
        <v>6509.6309000000001</v>
      </c>
      <c r="H99" s="127">
        <f t="shared" si="9"/>
        <v>3602.3690999999999</v>
      </c>
      <c r="I99" s="127">
        <f>3245.76966</f>
        <v>3245.7696599999999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305.86943</f>
        <v>305.86943000000002</v>
      </c>
      <c r="G100" s="127">
        <f>3403.1484</f>
        <v>3403.1484</v>
      </c>
      <c r="H100" s="127">
        <f t="shared" si="9"/>
        <v>3349.8516</v>
      </c>
      <c r="I100" s="127">
        <f>3081.99287</f>
        <v>3081.99287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216.04975</f>
        <v>216.04974999999999</v>
      </c>
      <c r="G101" s="132">
        <f>4700.34628</f>
        <v>4700.3462799999998</v>
      </c>
      <c r="H101" s="132">
        <f t="shared" si="9"/>
        <v>2895.6537200000002</v>
      </c>
      <c r="I101" s="132">
        <f>4415.47779</f>
        <v>4415.4777899999999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29.03201</f>
        <v>29.03201</v>
      </c>
      <c r="G102" s="75">
        <f>1659.16322</f>
        <v>1659.1632199999999</v>
      </c>
      <c r="H102" s="75">
        <f t="shared" si="9"/>
        <v>2244.8367800000001</v>
      </c>
      <c r="I102" s="75">
        <f>1157.81418</f>
        <v>1157.8141800000001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0.09708</f>
        <v>9.708E-2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0.57469</f>
        <v>0.57469000000000003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0.1045</f>
        <v>0.1045</v>
      </c>
      <c r="G105" s="98">
        <f>19.32406</f>
        <v>19.324059999999999</v>
      </c>
      <c r="H105" s="139">
        <f>E105-G105</f>
        <v>30.675940000000001</v>
      </c>
      <c r="I105" s="98">
        <f>6.68546</f>
        <v>6.68546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16.04012</f>
        <v>16.040120000000002</v>
      </c>
      <c r="H106" s="139">
        <f t="shared" ref="H106" si="10">E106-G106</f>
        <v>-16.040120000000002</v>
      </c>
      <c r="I106" s="139">
        <f>24.22476</f>
        <v>24.22476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1609.2708699999998</v>
      </c>
      <c r="G107" s="76">
        <f t="shared" si="12"/>
        <v>49826.525509999992</v>
      </c>
      <c r="H107" s="76">
        <f t="shared" si="12"/>
        <v>25797.474490000001</v>
      </c>
      <c r="I107" s="76">
        <f t="shared" si="12"/>
        <v>56740.962419999996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377.51130000000001</v>
      </c>
      <c r="G128" s="11">
        <f t="shared" si="13"/>
        <v>37572.439810000003</v>
      </c>
      <c r="H128" s="11">
        <f t="shared" si="13"/>
        <v>34734.560189999997</v>
      </c>
      <c r="I128" s="11">
        <f t="shared" si="13"/>
        <v>34899.189539999999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377.5113</f>
        <v>377.51130000000001</v>
      </c>
      <c r="G129" s="23">
        <f>33274.56511</f>
        <v>33274.565110000003</v>
      </c>
      <c r="H129" s="23">
        <f>E129-G129</f>
        <v>24287.434889999997</v>
      </c>
      <c r="I129" s="23">
        <f>30251.12771</f>
        <v>30251.127710000001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4232.42455</f>
        <v>4232.4245499999997</v>
      </c>
      <c r="H130" s="23">
        <f>E130-G130</f>
        <v>10012.57545</v>
      </c>
      <c r="I130" s="23">
        <f>4532.75558</f>
        <v>4532.75558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1877.85334</f>
        <v>1877.8533399999999</v>
      </c>
      <c r="G132" s="95">
        <f>5604.92368+1730.531875</f>
        <v>7335.4555549999995</v>
      </c>
      <c r="H132" s="95">
        <f>E132-G132</f>
        <v>45160.544445</v>
      </c>
      <c r="I132" s="95">
        <f>8052.97837</f>
        <v>8052.9783699999998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319.65242999999998</v>
      </c>
      <c r="G133" s="94">
        <f t="shared" ref="G133" si="14">G134+G139+G142</f>
        <v>44391.613135</v>
      </c>
      <c r="H133" s="94">
        <f>H134+H139+H142</f>
        <v>35773.386864999993</v>
      </c>
      <c r="I133" s="94">
        <f>I134+I139+I142</f>
        <v>44472.215680000001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200.82163</v>
      </c>
      <c r="G134" s="125">
        <f>G135+G136+G138+G137</f>
        <v>32951.542845000004</v>
      </c>
      <c r="H134" s="125">
        <f>H135+H136+H137+H138</f>
        <v>26127.457154999996</v>
      </c>
      <c r="I134" s="125">
        <f>I135+I136+I137+I138</f>
        <v>35097.309139999998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75.09737</f>
        <v>75.097369999999998</v>
      </c>
      <c r="G135" s="127">
        <v>6404.8846100000001</v>
      </c>
      <c r="H135" s="127">
        <f>E135-G135</f>
        <v>11369.115389999999</v>
      </c>
      <c r="I135" s="127">
        <f>5621.49594</f>
        <v>5621.4959399999998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62.89185</f>
        <v>62.891849999999998</v>
      </c>
      <c r="G136" s="127">
        <v>10199.727795000001</v>
      </c>
      <c r="H136" s="127">
        <f>E136-G136</f>
        <v>4739.2722049999993</v>
      </c>
      <c r="I136" s="127">
        <f>9888.95067</f>
        <v>9888.9506700000002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47.95981</f>
        <v>47.959809999999997</v>
      </c>
      <c r="G137" s="127">
        <v>8597.5025900000001</v>
      </c>
      <c r="H137" s="127">
        <f>E137-G137</f>
        <v>4453.4974099999999</v>
      </c>
      <c r="I137" s="127">
        <f>9414.95246</f>
        <v>9414.9524600000004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14.8726</f>
        <v>14.8726</v>
      </c>
      <c r="G138" s="127">
        <v>7749.4278500000009</v>
      </c>
      <c r="H138" s="127">
        <f>E138-G138</f>
        <v>5565.5721499999991</v>
      </c>
      <c r="I138" s="127">
        <f>10171.91007</f>
        <v>10171.91007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3.99132</v>
      </c>
      <c r="G139" s="132">
        <f>SUM(G140:G141)</f>
        <v>8197.1886799999993</v>
      </c>
      <c r="H139" s="132">
        <f>H140+H141</f>
        <v>732.81132000000002</v>
      </c>
      <c r="I139" s="132">
        <f>SUM(I140:I141)</f>
        <v>6177.1030799999999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1.23255</f>
        <v>1.23255</v>
      </c>
      <c r="G140" s="127">
        <f>7952.57744</f>
        <v>7952.57744</v>
      </c>
      <c r="H140" s="127">
        <f t="shared" ref="H140:H148" si="15">E140-G140</f>
        <v>477.42255999999998</v>
      </c>
      <c r="I140" s="127">
        <f>6049.76602</f>
        <v>6049.76602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2.75877</f>
        <v>2.7587700000000002</v>
      </c>
      <c r="G141" s="127">
        <f>244.61124</f>
        <v>244.61124000000001</v>
      </c>
      <c r="H141" s="127">
        <f t="shared" si="15"/>
        <v>255.38875999999999</v>
      </c>
      <c r="I141" s="127">
        <f>127.33706</f>
        <v>127.33705999999999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114.83948</f>
        <v>114.83947999999999</v>
      </c>
      <c r="G142" s="75">
        <f>3242.88161</f>
        <v>3242.8816099999999</v>
      </c>
      <c r="H142" s="75">
        <f t="shared" si="15"/>
        <v>8913.1183899999996</v>
      </c>
      <c r="I142" s="75">
        <f>3197.80346</f>
        <v>3197.8034600000001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0.0641</f>
        <v>6.4100000000000004E-2</v>
      </c>
      <c r="G143" s="139">
        <f>15.71255</f>
        <v>15.71255</v>
      </c>
      <c r="H143" s="139">
        <f t="shared" si="15"/>
        <v>130.28745000000001</v>
      </c>
      <c r="I143" s="139">
        <f>27.361</f>
        <v>27.361000000000001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82.208</f>
        <v>82.207999999999998</v>
      </c>
      <c r="H144" s="98">
        <f t="shared" si="15"/>
        <v>167.792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17.41736</f>
        <v>17.417359999999999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0.05735</f>
        <v>5.7349999999999998E-2</v>
      </c>
      <c r="G147" s="98">
        <f>38.14073</f>
        <v>38.140729999999998</v>
      </c>
      <c r="H147" s="139">
        <f t="shared" si="15"/>
        <v>237.85927000000001</v>
      </c>
      <c r="I147" s="98">
        <f>26.37663</f>
        <v>26.376629999999999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109.98109</f>
        <v>109.98108999999999</v>
      </c>
      <c r="H148" s="139">
        <f t="shared" si="15"/>
        <v>-109.98108999999999</v>
      </c>
      <c r="I148" s="139">
        <f>89.85293</f>
        <v>89.852930000000001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2592.5558799999999</v>
      </c>
      <c r="G150" s="76">
        <f>G128+G132+G133+G143+G144+G145+G146+G147+G148</f>
        <v>91545.550869999992</v>
      </c>
      <c r="H150" s="76">
        <f>H128+H132+H133+H143+H144+H145+H146+H147+H148</f>
        <v>116094.44912999999</v>
      </c>
      <c r="I150" s="76">
        <f>I128+I132+I133+I143+I144+I145+I146+I147+I148</f>
        <v>89830.55515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16.44587</f>
        <v>16.445869999999999</v>
      </c>
      <c r="F175" s="275">
        <f>423.04949</f>
        <v>423.04948999999999</v>
      </c>
      <c r="G175" s="43">
        <f>D175-F175-F176</f>
        <v>2860.11391</v>
      </c>
      <c r="H175" s="275">
        <f>789.94414</f>
        <v>789.94413999999995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36.16274</f>
        <v>36.162739999999999</v>
      </c>
      <c r="F176" s="152">
        <f>939.8366</f>
        <v>939.83659999999998</v>
      </c>
      <c r="G176" s="216"/>
      <c r="H176" s="152">
        <f>600.02696</f>
        <v>600.02696000000003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0.18542</f>
        <v>0.18542</v>
      </c>
      <c r="F177" s="172">
        <f>67.21338</f>
        <v>67.213380000000001</v>
      </c>
      <c r="G177" s="172">
        <f>D177-F177</f>
        <v>132.78662</v>
      </c>
      <c r="H177" s="172">
        <f>54.25948</f>
        <v>54.259480000000003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2.6623999999999999</v>
      </c>
      <c r="F178" s="181">
        <f>F179+F180+F181</f>
        <v>124.76902999999999</v>
      </c>
      <c r="G178" s="181">
        <f>D178-F178</f>
        <v>6209.2309699999996</v>
      </c>
      <c r="H178" s="181">
        <f>H179+H180+H181</f>
        <v>855.84559000000002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0.735</f>
        <v>0.73499999999999999</v>
      </c>
      <c r="F179" s="127">
        <f>53.76361</f>
        <v>53.76361</v>
      </c>
      <c r="G179" s="127"/>
      <c r="H179" s="127">
        <f>323.04113</f>
        <v>323.04113000000001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1.20448</f>
        <v>1.20448</v>
      </c>
      <c r="F180" s="127">
        <f>30.54968</f>
        <v>30.549679999999999</v>
      </c>
      <c r="G180" s="127"/>
      <c r="H180" s="127">
        <f>335.44122</f>
        <v>335.44121999999999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0.72292</f>
        <v>0.72292000000000001</v>
      </c>
      <c r="F181" s="192">
        <f>40.45574</f>
        <v>40.455739999999999</v>
      </c>
      <c r="G181" s="192"/>
      <c r="H181" s="192">
        <f>197.36324</f>
        <v>197.36323999999999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55.456429999999997</v>
      </c>
      <c r="F184" s="194">
        <f>F175+F176+F177+F178+F182+F183</f>
        <v>1554.8684999999998</v>
      </c>
      <c r="G184" s="194">
        <f>D184-F184</f>
        <v>9268.1314999999995</v>
      </c>
      <c r="H184" s="194">
        <f>H175+H176+H177+H178+H182+H183</f>
        <v>2300.0761699999998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3004.1082</f>
        <v>3004.1082000000001</v>
      </c>
      <c r="F204" s="124">
        <f>19161.09848</f>
        <v>19161.098480000001</v>
      </c>
      <c r="G204" s="124">
        <f>D204-F204</f>
        <v>27120.901519999999</v>
      </c>
      <c r="H204" s="124">
        <f>17471.62029</f>
        <v>17471.620289999999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7.009</f>
        <v>7.0090000000000003</v>
      </c>
      <c r="F205" s="124">
        <f>23.17943</f>
        <v>23.17943</v>
      </c>
      <c r="G205" s="124">
        <f>D205-F205</f>
        <v>76.820570000000004</v>
      </c>
      <c r="H205" s="124">
        <f>5.29987</f>
        <v>5.2998700000000003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3011.1172000000001</v>
      </c>
      <c r="F207" s="190">
        <f>SUM(F204:F206)</f>
        <v>19184.277910000001</v>
      </c>
      <c r="G207" s="190">
        <f>D207-F207</f>
        <v>27233.722089999999</v>
      </c>
      <c r="H207" s="190">
        <f>SUM(H204:H206)</f>
        <v>17476.920159999998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47.074759999999998</v>
      </c>
      <c r="F249" s="75">
        <f>F250+F251</f>
        <v>2784.8024400000004</v>
      </c>
      <c r="G249" s="75">
        <f>D249-F249</f>
        <v>1202.1975599999996</v>
      </c>
      <c r="H249" s="75">
        <f>H250+H251</f>
        <v>1738.2837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43.01654</f>
        <v>43.016539999999999</v>
      </c>
      <c r="F250" s="75">
        <f>2306.84603</f>
        <v>2306.8460300000002</v>
      </c>
      <c r="G250" s="75"/>
      <c r="H250" s="75">
        <f>1316.94465</f>
        <v>1316.9446499999999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4.05822</f>
        <v>4.0582200000000004</v>
      </c>
      <c r="F251" s="124">
        <f>477.95641</f>
        <v>477.95641000000001</v>
      </c>
      <c r="G251" s="168"/>
      <c r="H251" s="124">
        <f>421.33905</f>
        <v>421.33904999999999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191.1475</f>
        <v>191.14750000000001</v>
      </c>
      <c r="F252" s="75">
        <f>4158.95469</f>
        <v>4158.9546899999996</v>
      </c>
      <c r="G252" s="75">
        <f>D252-F252</f>
        <v>454.04531000000043</v>
      </c>
      <c r="H252" s="75">
        <f>3746.81801</f>
        <v>3746.81801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238.22226000000001</v>
      </c>
      <c r="F253" s="190">
        <f>SUM(F249,F252)</f>
        <v>6943.75713</v>
      </c>
      <c r="G253" s="190">
        <f>D253-F253</f>
        <v>1656.24287</v>
      </c>
      <c r="H253" s="190">
        <f>SUM(H249,H252)</f>
        <v>5485.1017099999999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245.97185000000002</v>
      </c>
      <c r="F295" s="75">
        <f>F296+F297</f>
        <v>3002.2239599999998</v>
      </c>
      <c r="G295" s="75">
        <f>D295-F295</f>
        <v>2087.7760400000002</v>
      </c>
      <c r="H295" s="75">
        <f>H296+H297</f>
        <v>1742.6547599999999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203.01013</f>
        <v>203.01013</v>
      </c>
      <c r="F296" s="75">
        <f>2592.56375</f>
        <v>2592.5637499999998</v>
      </c>
      <c r="G296" s="75"/>
      <c r="H296" s="75">
        <f>1429.21833</f>
        <v>1429.2183299999999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42.96172</f>
        <v>42.96172</v>
      </c>
      <c r="F297" s="124">
        <f>409.66021</f>
        <v>409.66021000000001</v>
      </c>
      <c r="G297" s="168"/>
      <c r="H297" s="124">
        <f>313.43643</f>
        <v>313.43642999999997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60.78068</f>
        <v>60.780679999999997</v>
      </c>
      <c r="F298" s="75">
        <f>1826.10538</f>
        <v>1826.10538</v>
      </c>
      <c r="G298" s="75">
        <f>D298-F298</f>
        <v>1154.89462</v>
      </c>
      <c r="H298" s="75">
        <f>1826.85454</f>
        <v>1826.85454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306.75253000000004</v>
      </c>
      <c r="F299" s="190">
        <f>SUM(F295,F298)</f>
        <v>4828.3293400000002</v>
      </c>
      <c r="G299" s="190">
        <f>D299-F299</f>
        <v>3242.6706599999998</v>
      </c>
      <c r="H299" s="190">
        <f>SUM(H295,H298)</f>
        <v>3569.5092999999997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5.61566</f>
        <v>5.6156600000000001</v>
      </c>
      <c r="F350" s="124">
        <f>288.8028</f>
        <v>288.80279999999999</v>
      </c>
      <c r="G350" s="124">
        <f>D350-F350</f>
        <v>511.19720000000001</v>
      </c>
      <c r="H350" s="124">
        <f>203.93856</f>
        <v>203.93856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26.66843</f>
        <v>26.668430000000001</v>
      </c>
      <c r="F351" s="124">
        <f>545.9661</f>
        <v>545.96609999999998</v>
      </c>
      <c r="G351" s="124">
        <f>D351-F351</f>
        <v>2495.0338999999999</v>
      </c>
      <c r="H351" s="124">
        <f>606.51428</f>
        <v>606.51427999999999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1.49978</f>
        <v>1.4997799999999999</v>
      </c>
      <c r="F352" s="168">
        <f>3.60962</f>
        <v>3.6096200000000001</v>
      </c>
      <c r="G352" s="124">
        <f>D352-F352</f>
        <v>6.3903800000000004</v>
      </c>
      <c r="H352" s="168">
        <f>0.6352</f>
        <v>0.63519999999999999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0.02</f>
        <v>0.02</v>
      </c>
      <c r="F353" s="168">
        <f>0.091</f>
        <v>9.0999999999999998E-2</v>
      </c>
      <c r="G353" s="124">
        <f>D353-F353</f>
        <v>-9.0999999999999998E-2</v>
      </c>
      <c r="H353" s="168">
        <f>1.62624</f>
        <v>1.6262399999999999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33.803870000000003</v>
      </c>
      <c r="F354" s="190">
        <f>SUM(F350:F353)</f>
        <v>838.46951999999999</v>
      </c>
      <c r="G354" s="190">
        <f>D354-F354</f>
        <v>3012.5304799999999</v>
      </c>
      <c r="H354" s="190">
        <f>H350+H351+H352+H353</f>
        <v>812.71428000000003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149.0608</v>
      </c>
      <c r="G380" s="252">
        <f t="shared" si="17"/>
        <v>6426.4077099999995</v>
      </c>
      <c r="H380" s="252">
        <f>H384+H383+H382+H381</f>
        <v>16542.592290000001</v>
      </c>
      <c r="I380" s="252">
        <f t="shared" si="17"/>
        <v>4431.6941200000001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4018.54691</f>
        <v>4018.54691</v>
      </c>
      <c r="H381" s="256">
        <f t="shared" ref="H381:H385" si="18">E381-G381</f>
        <v>9171.4530899999991</v>
      </c>
      <c r="I381" s="256">
        <f>2008.18667</f>
        <v>2008.18667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832.04145</f>
        <v>832.04145000000005</v>
      </c>
      <c r="H382" s="256">
        <f t="shared" si="18"/>
        <v>2600.9585499999998</v>
      </c>
      <c r="I382" s="256">
        <f>764.7831</f>
        <v>764.78309999999999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19.2954</f>
        <v>19.295400000000001</v>
      </c>
      <c r="G383" s="256">
        <f>1075.39249</f>
        <v>1075.39249</v>
      </c>
      <c r="H383" s="256">
        <f t="shared" si="18"/>
        <v>407.60751000000005</v>
      </c>
      <c r="I383" s="256">
        <f>1145.74885</f>
        <v>1145.7488499999999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129.7654</f>
        <v>129.7654</v>
      </c>
      <c r="G384" s="256">
        <f>500.42686</f>
        <v>500.42685999999998</v>
      </c>
      <c r="H384" s="256">
        <f t="shared" si="18"/>
        <v>4362.5731400000004</v>
      </c>
      <c r="I384" s="256">
        <f>512.9755</f>
        <v>512.97550000000001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146.32078</f>
        <v>146.32078000000001</v>
      </c>
      <c r="G385" s="267">
        <f>2043.92596</f>
        <v>2043.92596</v>
      </c>
      <c r="H385" s="267">
        <f t="shared" si="18"/>
        <v>3456.07404</v>
      </c>
      <c r="I385" s="267">
        <f>4539.1371</f>
        <v>4539.1370999999999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14.38561</v>
      </c>
      <c r="G386" s="268">
        <f>G388+G387</f>
        <v>1435.8501200000001</v>
      </c>
      <c r="H386" s="268">
        <f>E386-G386</f>
        <v>6564.1498799999999</v>
      </c>
      <c r="I386" s="268">
        <f>I388+I387</f>
        <v>1772.4735300000002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3.07053</f>
        <v>3.0705300000000002</v>
      </c>
      <c r="G387" s="256">
        <f>525.57129</f>
        <v>525.57128999999998</v>
      </c>
      <c r="H387" s="256"/>
      <c r="I387" s="256">
        <f>749.32153</f>
        <v>749.32153000000005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11.31508</f>
        <v>11.31508</v>
      </c>
      <c r="G388" s="277">
        <f>910.27883</f>
        <v>910.27882999999997</v>
      </c>
      <c r="H388" s="277"/>
      <c r="I388" s="277">
        <f>1023.152</f>
        <v>1023.152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1.0382</f>
        <v>1.0382</v>
      </c>
      <c r="G390" s="267">
        <f>6.46268</f>
        <v>6.4626799999999998</v>
      </c>
      <c r="H390" s="267">
        <f>E390-G390</f>
        <v>-6.4626799999999998</v>
      </c>
      <c r="I390" s="267">
        <f>26.06728</f>
        <v>26.06728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310.80538999999999</v>
      </c>
      <c r="G391" s="286">
        <f t="shared" si="19"/>
        <v>9912.6728700000003</v>
      </c>
      <c r="H391" s="286">
        <f>H380+H385+H386+H389+H390</f>
        <v>26569.327130000001</v>
      </c>
      <c r="I391" s="286">
        <f t="shared" si="19"/>
        <v>10769.437129999998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30.2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70.093000000000004</v>
      </c>
      <c r="F419" s="36">
        <f>SUM(F420:F421)</f>
        <v>1030.81781</v>
      </c>
      <c r="G419" s="85">
        <f>D419-F419</f>
        <v>204.18218999999999</v>
      </c>
      <c r="H419" s="36">
        <f>SUM(H420:H421)</f>
        <v>1436.0925699999998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57.2866</f>
        <v>57.2866</v>
      </c>
      <c r="F420" s="30">
        <f>736.96544</f>
        <v>736.96543999999994</v>
      </c>
      <c r="G420" s="97"/>
      <c r="H420" s="30">
        <f>1038.23518</f>
        <v>1038.2351799999999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12.8064</f>
        <v>12.8064</v>
      </c>
      <c r="F421" s="30">
        <f>293.85237</f>
        <v>293.85237000000001</v>
      </c>
      <c r="G421" s="108"/>
      <c r="H421" s="30">
        <f>397.85739</f>
        <v>397.85739000000001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70.093000000000004</v>
      </c>
      <c r="F423" s="40">
        <f>F413+F416+F419+F422</f>
        <v>3241.2180199999998</v>
      </c>
      <c r="G423" s="41"/>
      <c r="H423" s="40">
        <f>H413+H416+H419+H422</f>
        <v>5168.1362300000001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22&amp;R03.06.2024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2024-06-03T07:28:06Z</dcterms:modified>
</cp:coreProperties>
</file>