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\\fiskeridirektoratet.no\Brukere\ameikl\Downloads\"/>
    </mc:Choice>
  </mc:AlternateContent>
  <xr:revisionPtr revIDLastSave="0" documentId="13_ncr:1_{2019F8CD-8AC2-4C15-A8DE-8B6989C43D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ukesstatistikk!$B$1:$J$423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419" i="1"/>
  <c r="F419" i="1"/>
  <c r="E419" i="1"/>
  <c r="H418" i="1"/>
  <c r="F418" i="1"/>
  <c r="E418" i="1"/>
  <c r="H417" i="1"/>
  <c r="F417" i="1"/>
  <c r="E417" i="1"/>
  <c r="H416" i="1"/>
  <c r="F416" i="1"/>
  <c r="E416" i="1"/>
  <c r="H415" i="1"/>
  <c r="F415" i="1"/>
  <c r="E415" i="1"/>
  <c r="E414" i="1" s="1"/>
  <c r="H414" i="1"/>
  <c r="F414" i="1"/>
  <c r="H413" i="1"/>
  <c r="F413" i="1"/>
  <c r="E413" i="1"/>
  <c r="E411" i="1" s="1"/>
  <c r="H412" i="1"/>
  <c r="F412" i="1"/>
  <c r="E412" i="1"/>
  <c r="H411" i="1"/>
  <c r="H421" i="1" s="1"/>
  <c r="F411" i="1"/>
  <c r="F421" i="1" s="1"/>
  <c r="E389" i="1"/>
  <c r="D389" i="1"/>
  <c r="I388" i="1"/>
  <c r="G388" i="1"/>
  <c r="H388" i="1" s="1"/>
  <c r="F388" i="1"/>
  <c r="I387" i="1"/>
  <c r="G387" i="1"/>
  <c r="H387" i="1" s="1"/>
  <c r="F387" i="1"/>
  <c r="I386" i="1"/>
  <c r="G386" i="1"/>
  <c r="F386" i="1"/>
  <c r="I385" i="1"/>
  <c r="G385" i="1"/>
  <c r="F385" i="1"/>
  <c r="F384" i="1" s="1"/>
  <c r="I384" i="1"/>
  <c r="H384" i="1"/>
  <c r="G384" i="1"/>
  <c r="I383" i="1"/>
  <c r="H383" i="1"/>
  <c r="G383" i="1"/>
  <c r="F383" i="1"/>
  <c r="I382" i="1"/>
  <c r="H382" i="1"/>
  <c r="H378" i="1" s="1"/>
  <c r="H389" i="1" s="1"/>
  <c r="G382" i="1"/>
  <c r="F382" i="1"/>
  <c r="I381" i="1"/>
  <c r="H381" i="1"/>
  <c r="G381" i="1"/>
  <c r="F381" i="1"/>
  <c r="F378" i="1" s="1"/>
  <c r="I380" i="1"/>
  <c r="H380" i="1"/>
  <c r="G380" i="1"/>
  <c r="F380" i="1"/>
  <c r="I379" i="1"/>
  <c r="H379" i="1"/>
  <c r="G379" i="1"/>
  <c r="F379" i="1"/>
  <c r="I378" i="1"/>
  <c r="I389" i="1" s="1"/>
  <c r="G378" i="1"/>
  <c r="G389" i="1" s="1"/>
  <c r="E378" i="1"/>
  <c r="D378" i="1"/>
  <c r="H370" i="1"/>
  <c r="F370" i="1"/>
  <c r="D352" i="1"/>
  <c r="H351" i="1"/>
  <c r="F351" i="1"/>
  <c r="E351" i="1"/>
  <c r="H350" i="1"/>
  <c r="G350" i="1"/>
  <c r="F350" i="1"/>
  <c r="E350" i="1"/>
  <c r="H349" i="1"/>
  <c r="F349" i="1"/>
  <c r="G349" i="1" s="1"/>
  <c r="E349" i="1"/>
  <c r="H348" i="1"/>
  <c r="H352" i="1" s="1"/>
  <c r="G348" i="1"/>
  <c r="F348" i="1"/>
  <c r="F352" i="1" s="1"/>
  <c r="G352" i="1" s="1"/>
  <c r="E348" i="1"/>
  <c r="E352" i="1" s="1"/>
  <c r="D341" i="1"/>
  <c r="H296" i="1"/>
  <c r="F296" i="1"/>
  <c r="E296" i="1"/>
  <c r="H295" i="1"/>
  <c r="F295" i="1"/>
  <c r="E295" i="1"/>
  <c r="H294" i="1"/>
  <c r="H297" i="1" s="1"/>
  <c r="F294" i="1"/>
  <c r="F297" i="1" s="1"/>
  <c r="G297" i="1" s="1"/>
  <c r="E294" i="1"/>
  <c r="E297" i="1" s="1"/>
  <c r="H251" i="1"/>
  <c r="F251" i="1"/>
  <c r="E251" i="1"/>
  <c r="E252" i="1" s="1"/>
  <c r="H250" i="1"/>
  <c r="H252" i="1" s="1"/>
  <c r="F250" i="1"/>
  <c r="E250" i="1"/>
  <c r="H249" i="1"/>
  <c r="F249" i="1"/>
  <c r="F252" i="1" s="1"/>
  <c r="G252" i="1" s="1"/>
  <c r="E249" i="1"/>
  <c r="F207" i="1"/>
  <c r="G207" i="1" s="1"/>
  <c r="D207" i="1"/>
  <c r="G206" i="1"/>
  <c r="H205" i="1"/>
  <c r="F205" i="1"/>
  <c r="G205" i="1" s="1"/>
  <c r="E205" i="1"/>
  <c r="E207" i="1" s="1"/>
  <c r="H204" i="1"/>
  <c r="H207" i="1" s="1"/>
  <c r="G204" i="1"/>
  <c r="F204" i="1"/>
  <c r="E204" i="1"/>
  <c r="D184" i="1"/>
  <c r="G184" i="1" s="1"/>
  <c r="H182" i="1"/>
  <c r="F182" i="1"/>
  <c r="G182" i="1" s="1"/>
  <c r="E182" i="1"/>
  <c r="H181" i="1"/>
  <c r="F181" i="1"/>
  <c r="E181" i="1"/>
  <c r="E178" i="1" s="1"/>
  <c r="H180" i="1"/>
  <c r="H178" i="1" s="1"/>
  <c r="F180" i="1"/>
  <c r="E180" i="1"/>
  <c r="H179" i="1"/>
  <c r="F179" i="1"/>
  <c r="E179" i="1"/>
  <c r="F178" i="1"/>
  <c r="G178" i="1" s="1"/>
  <c r="H177" i="1"/>
  <c r="F177" i="1"/>
  <c r="G177" i="1" s="1"/>
  <c r="E177" i="1"/>
  <c r="H176" i="1"/>
  <c r="F176" i="1"/>
  <c r="E176" i="1"/>
  <c r="H175" i="1"/>
  <c r="F175" i="1"/>
  <c r="F184" i="1" s="1"/>
  <c r="E175" i="1"/>
  <c r="D150" i="1"/>
  <c r="I148" i="1"/>
  <c r="G148" i="1"/>
  <c r="F148" i="1"/>
  <c r="I147" i="1"/>
  <c r="G147" i="1"/>
  <c r="H147" i="1" s="1"/>
  <c r="F147" i="1"/>
  <c r="H146" i="1"/>
  <c r="H145" i="1"/>
  <c r="F145" i="1"/>
  <c r="I144" i="1"/>
  <c r="H144" i="1"/>
  <c r="G144" i="1"/>
  <c r="F144" i="1"/>
  <c r="I143" i="1"/>
  <c r="H143" i="1"/>
  <c r="G143" i="1"/>
  <c r="F143" i="1"/>
  <c r="I142" i="1"/>
  <c r="H142" i="1"/>
  <c r="G142" i="1"/>
  <c r="F142" i="1"/>
  <c r="I141" i="1"/>
  <c r="H141" i="1"/>
  <c r="G141" i="1"/>
  <c r="F141" i="1"/>
  <c r="I140" i="1"/>
  <c r="I139" i="1" s="1"/>
  <c r="H140" i="1"/>
  <c r="H139" i="1" s="1"/>
  <c r="G140" i="1"/>
  <c r="G139" i="1" s="1"/>
  <c r="F140" i="1"/>
  <c r="F139" i="1" s="1"/>
  <c r="E139" i="1"/>
  <c r="I138" i="1"/>
  <c r="H138" i="1"/>
  <c r="F138" i="1"/>
  <c r="I137" i="1"/>
  <c r="H137" i="1"/>
  <c r="F137" i="1"/>
  <c r="I136" i="1"/>
  <c r="H136" i="1"/>
  <c r="F136" i="1"/>
  <c r="I135" i="1"/>
  <c r="H135" i="1"/>
  <c r="H134" i="1" s="1"/>
  <c r="F135" i="1"/>
  <c r="F134" i="1" s="1"/>
  <c r="F133" i="1" s="1"/>
  <c r="I134" i="1"/>
  <c r="I133" i="1" s="1"/>
  <c r="G134" i="1"/>
  <c r="E134" i="1"/>
  <c r="E133" i="1"/>
  <c r="I132" i="1"/>
  <c r="H132" i="1"/>
  <c r="F132" i="1"/>
  <c r="I131" i="1"/>
  <c r="G131" i="1"/>
  <c r="H131" i="1" s="1"/>
  <c r="F131" i="1"/>
  <c r="I130" i="1"/>
  <c r="G130" i="1"/>
  <c r="H130" i="1" s="1"/>
  <c r="F130" i="1"/>
  <c r="I129" i="1"/>
  <c r="G129" i="1"/>
  <c r="H129" i="1" s="1"/>
  <c r="F129" i="1"/>
  <c r="F128" i="1" s="1"/>
  <c r="F150" i="1" s="1"/>
  <c r="I128" i="1"/>
  <c r="E128" i="1"/>
  <c r="E150" i="1" s="1"/>
  <c r="C126" i="1"/>
  <c r="H106" i="1"/>
  <c r="I105" i="1"/>
  <c r="H105" i="1"/>
  <c r="G105" i="1"/>
  <c r="F105" i="1"/>
  <c r="H104" i="1"/>
  <c r="F104" i="1"/>
  <c r="I103" i="1"/>
  <c r="H103" i="1"/>
  <c r="G103" i="1"/>
  <c r="F103" i="1"/>
  <c r="I102" i="1"/>
  <c r="G102" i="1"/>
  <c r="H102" i="1" s="1"/>
  <c r="F102" i="1"/>
  <c r="I101" i="1"/>
  <c r="H101" i="1"/>
  <c r="G101" i="1"/>
  <c r="F101" i="1"/>
  <c r="I100" i="1"/>
  <c r="G100" i="1"/>
  <c r="H100" i="1" s="1"/>
  <c r="F100" i="1"/>
  <c r="I99" i="1"/>
  <c r="H99" i="1"/>
  <c r="G99" i="1"/>
  <c r="F99" i="1"/>
  <c r="I98" i="1"/>
  <c r="G98" i="1"/>
  <c r="H98" i="1" s="1"/>
  <c r="F98" i="1"/>
  <c r="I97" i="1"/>
  <c r="I96" i="1" s="1"/>
  <c r="I95" i="1" s="1"/>
  <c r="I107" i="1" s="1"/>
  <c r="H97" i="1"/>
  <c r="G97" i="1"/>
  <c r="F97" i="1"/>
  <c r="G96" i="1"/>
  <c r="G95" i="1" s="1"/>
  <c r="F96" i="1"/>
  <c r="F95" i="1" s="1"/>
  <c r="E96" i="1"/>
  <c r="E95" i="1" s="1"/>
  <c r="D96" i="1"/>
  <c r="D95" i="1" s="1"/>
  <c r="D107" i="1" s="1"/>
  <c r="I94" i="1"/>
  <c r="H94" i="1"/>
  <c r="G94" i="1"/>
  <c r="F94" i="1"/>
  <c r="I93" i="1"/>
  <c r="G93" i="1"/>
  <c r="G92" i="1" s="1"/>
  <c r="G107" i="1" s="1"/>
  <c r="F93" i="1"/>
  <c r="F92" i="1" s="1"/>
  <c r="F107" i="1" s="1"/>
  <c r="I92" i="1"/>
  <c r="E92" i="1"/>
  <c r="C89" i="1"/>
  <c r="H85" i="1"/>
  <c r="F85" i="1"/>
  <c r="D85" i="1"/>
  <c r="G61" i="1"/>
  <c r="G60" i="1"/>
  <c r="H55" i="1"/>
  <c r="F55" i="1"/>
  <c r="G55" i="1" s="1"/>
  <c r="E55" i="1"/>
  <c r="F32" i="1" s="1"/>
  <c r="E44" i="1"/>
  <c r="D44" i="1"/>
  <c r="H43" i="1"/>
  <c r="H42" i="1"/>
  <c r="I41" i="1"/>
  <c r="G41" i="1"/>
  <c r="H41" i="1" s="1"/>
  <c r="F41" i="1"/>
  <c r="H40" i="1"/>
  <c r="F40" i="1"/>
  <c r="I39" i="1"/>
  <c r="G39" i="1"/>
  <c r="H39" i="1" s="1"/>
  <c r="F39" i="1"/>
  <c r="I38" i="1"/>
  <c r="G38" i="1"/>
  <c r="H38" i="1" s="1"/>
  <c r="F38" i="1"/>
  <c r="I37" i="1"/>
  <c r="G37" i="1"/>
  <c r="H37" i="1" s="1"/>
  <c r="F37" i="1"/>
  <c r="I36" i="1"/>
  <c r="G36" i="1"/>
  <c r="H36" i="1" s="1"/>
  <c r="F36" i="1"/>
  <c r="F34" i="1" s="1"/>
  <c r="I35" i="1"/>
  <c r="I34" i="1" s="1"/>
  <c r="G35" i="1"/>
  <c r="H35" i="1" s="1"/>
  <c r="F35" i="1"/>
  <c r="I33" i="1"/>
  <c r="G33" i="1"/>
  <c r="H33" i="1" s="1"/>
  <c r="F33" i="1"/>
  <c r="I32" i="1"/>
  <c r="I31" i="1"/>
  <c r="G31" i="1"/>
  <c r="H31" i="1" s="1"/>
  <c r="F31" i="1"/>
  <c r="I30" i="1"/>
  <c r="G30" i="1"/>
  <c r="H30" i="1" s="1"/>
  <c r="F30" i="1"/>
  <c r="I29" i="1"/>
  <c r="I27" i="1" s="1"/>
  <c r="G29" i="1"/>
  <c r="H29" i="1" s="1"/>
  <c r="F29" i="1"/>
  <c r="I28" i="1"/>
  <c r="G28" i="1"/>
  <c r="H28" i="1" s="1"/>
  <c r="F28" i="1"/>
  <c r="I25" i="1"/>
  <c r="G25" i="1"/>
  <c r="H25" i="1" s="1"/>
  <c r="F25" i="1"/>
  <c r="I24" i="1"/>
  <c r="G24" i="1"/>
  <c r="H24" i="1" s="1"/>
  <c r="F24" i="1"/>
  <c r="F23" i="1" s="1"/>
  <c r="I23" i="1"/>
  <c r="G23" i="1"/>
  <c r="H16" i="1"/>
  <c r="F16" i="1"/>
  <c r="D16" i="1"/>
  <c r="G133" i="1" l="1"/>
  <c r="F27" i="1"/>
  <c r="F26" i="1" s="1"/>
  <c r="F44" i="1" s="1"/>
  <c r="I44" i="1"/>
  <c r="I26" i="1"/>
  <c r="G32" i="1"/>
  <c r="H32" i="1" s="1"/>
  <c r="H27" i="1" s="1"/>
  <c r="H128" i="1"/>
  <c r="F389" i="1"/>
  <c r="H184" i="1"/>
  <c r="E184" i="1"/>
  <c r="E421" i="1"/>
  <c r="H92" i="1"/>
  <c r="H107" i="1" s="1"/>
  <c r="H96" i="1"/>
  <c r="H95" i="1" s="1"/>
  <c r="H23" i="1"/>
  <c r="E107" i="1"/>
  <c r="I150" i="1"/>
  <c r="H133" i="1"/>
  <c r="G34" i="1"/>
  <c r="H93" i="1"/>
  <c r="G128" i="1"/>
  <c r="G150" i="1" s="1"/>
  <c r="G175" i="1"/>
  <c r="G27" i="1" l="1"/>
  <c r="H34" i="1"/>
  <c r="H26" i="1" s="1"/>
  <c r="H44" i="1" s="1"/>
  <c r="G26" i="1"/>
  <c r="G44" i="1" s="1"/>
  <c r="H150" i="1"/>
</calcChain>
</file>

<file path=xl/sharedStrings.xml><?xml version="1.0" encoding="utf-8"?>
<sst xmlns="http://schemas.openxmlformats.org/spreadsheetml/2006/main" count="358" uniqueCount="150">
  <si>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</si>
  <si>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</si>
  <si>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</si>
  <si>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</si>
  <si>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</si>
  <si>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</si>
  <si>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</si>
  <si>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</si>
  <si>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</si>
  <si>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</si>
  <si>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</si>
  <si>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</si>
  <si>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</si>
  <si>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</si>
  <si>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</si>
  <si>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</si>
  <si>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</si>
  <si>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</si>
  <si>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</si>
  <si>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</si>
  <si>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</si>
  <si>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</si>
  <si>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</si>
  <si>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</si>
  <si>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</si>
  <si>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</si>
  <si>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</si>
  <si>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</si>
  <si>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</si>
  <si>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</si>
  <si>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</si>
  <si>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</si>
  <si>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</si>
  <si>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</si>
  <si>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</si>
  <si>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</si>
  <si>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</si>
  <si>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</si>
  <si>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</si>
  <si>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</si>
  <si>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</si>
  <si>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</si>
  <si>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</si>
  <si>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</si>
  <si>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</si>
  <si>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</si>
  <si>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</si>
  <si>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</si>
  <si>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</si>
  <si>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</si>
  <si>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</si>
  <si>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</si>
  <si>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</si>
  <si>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</si>
  <si>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</si>
  <si>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</si>
  <si>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</si>
  <si>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</si>
  <si>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</si>
  <si>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</si>
  <si>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</si>
  <si>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</si>
  <si>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</si>
  <si>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</si>
  <si>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</si>
  <si>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</si>
  <si>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</si>
  <si>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</si>
  <si>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</si>
  <si>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</si>
  <si>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</si>
  <si>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</si>
  <si>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</si>
  <si>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</si>
  <si>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</si>
  <si>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</si>
  <si>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</si>
  <si>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</si>
  <si>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</si>
  <si>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</si>
  <si>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</si>
  <si>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</si>
  <si>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</si>
  <si>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</si>
  <si>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</si>
  <si>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</si>
  <si>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</si>
  <si>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</si>
  <si>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</si>
  <si>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</si>
  <si>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</si>
  <si>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</si>
  <si>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</si>
  <si>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</si>
  <si>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</si>
  <si>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</si>
  <si>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</si>
  <si>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</si>
  <si>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</si>
  <si>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</si>
  <si>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</si>
  <si>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</si>
  <si>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</si>
  <si>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</si>
  <si>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</si>
  <si>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</si>
  <si>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</si>
  <si>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</si>
  <si>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</si>
  <si>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</si>
  <si>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</si>
  <si>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</si>
  <si>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</si>
  <si>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</si>
  <si>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</si>
  <si>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</si>
  <si>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</si>
  <si>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</si>
  <si>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</si>
  <si>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</si>
  <si>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380 tonn, er trukket ut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</si>
  <si>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</si>
  <si>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</si>
  <si>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26. juni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</si>
  <si>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</si>
  <si>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1 584 tonn avsatt til rekrutteringsordningen</t>
    </r>
  </si>
  <si>
    <t>4  Kvoter justert for kvotefleksibilitet, dvs. kvoteoverføringer fra 2022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</si>
  <si>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5 303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</si>
  <si>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</si>
  <si>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509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</si>
  <si>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2022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</si>
  <si>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</si>
  <si>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r>
      <t xml:space="preserve">1 </t>
    </r>
    <r>
      <rPr>
        <sz val="9"/>
        <rFont val="Calibri"/>
        <family val="2"/>
      </rPr>
      <t>Av den norske kvoten er det avsatt 42 tonn til forsknings- og undervisningsformål</t>
    </r>
  </si>
  <si>
    <r>
      <t xml:space="preserve">2 </t>
    </r>
    <r>
      <rPr>
        <sz val="9"/>
        <rFont val="Calibri"/>
        <family val="2"/>
      </rPr>
      <t>14 020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</si>
  <si>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2 738 tonn i Fiskevernsonen ved Svalbard og 3 940 tonn i internasjonalt farvann i Norskehavet. I tillegg er det avsatt 1 000 tonn snabeluer til EU-fartøys fiske.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</si>
  <si>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8 669 tonn er overført fra ubenyttet tredjelandskvoter fra Norges økonomiske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</si>
  <si>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2 370 tonn er overført fra ubenyttet tredjelandskvoter fra Norges økonomiske til norsk totalkvote</t>
    </r>
  </si>
  <si>
    <t>LANGE NORD FOR 62°N</t>
  </si>
  <si>
    <t>BROSME NORD FOR 62°N</t>
  </si>
  <si>
    <t>FANGST AV TORSK, HYSE, SEI, BLÅKVEITE, SNABELUER, LANGE, BROSME OG REKER I 2023</t>
  </si>
  <si>
    <t>Grunnet endringer i reguleringen, er fangstene ikke avregnet periodekvoter. Fangsttallene gjelder for hele 2023.</t>
  </si>
  <si>
    <t>Statistikk i henhold til ny regulering kommer på et senere tidspunkt.</t>
  </si>
  <si>
    <t>FANGST UKE 42</t>
  </si>
  <si>
    <t>FANGST T.O.M UKE 42</t>
  </si>
  <si>
    <t>RESTKVOTER UKE 42</t>
  </si>
  <si>
    <t>FANGST T.O.M UKE 42 2022</t>
  </si>
  <si>
    <r>
      <t xml:space="preserve">3 </t>
    </r>
    <r>
      <rPr>
        <sz val="9"/>
        <color indexed="8"/>
        <rFont val="Calibri"/>
        <family val="2"/>
      </rPr>
      <t>Registrert rekreasjonsfiske utgjør 714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</si>
  <si>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68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</si>
  <si>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662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</si>
  <si>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7 143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</si>
</sst>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6" fillId="2" borderId="3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8" fillId="0" borderId="8" xfId="0" applyNumberFormat="1" applyFont="1" applyBorder="1" applyAlignment="1">
      <alignment vertical="center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3" fillId="0" borderId="43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3" fontId="6" fillId="2" borderId="8" xfId="0" applyNumberFormat="1" applyFont="1" applyFill="1" applyBorder="1" applyAlignment="1">
      <alignment vertical="center" wrapText="1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/>
    <xf numFmtId="0" fontId="25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28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47" xfId="0" applyNumberFormat="1" applyFont="1" applyBorder="1" applyAlignment="1">
      <alignment horizontal="right" vertical="center" indent="1"/>
    </xf>
    <xf numFmtId="3" fontId="22" fillId="0" borderId="25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29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26" fillId="0" borderId="48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4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08"/>
  <sheetViews>
    <sheetView showGridLines="0" tabSelected="1" showRuler="0" view="pageLayout" zoomScale="85" zoomScaleNormal="85" zoomScaleSheetLayoutView="100" zoomScalePageLayoutView="85" workbookViewId="0">
      <selection activeCell="E4" sqref="E4"/>
    </sheetView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0" t="s">
        <v>139</v>
      </c>
      <c r="C2" s="291"/>
      <c r="D2" s="291"/>
      <c r="E2" s="291"/>
      <c r="F2" s="291"/>
      <c r="G2" s="291"/>
      <c r="H2" s="291"/>
      <c r="I2" s="291"/>
      <c r="J2" s="292"/>
    </row>
    <row r="3" spans="1:10" ht="14.85" customHeight="1" x14ac:dyDescent="0.25">
      <c r="A3" s="1"/>
      <c r="B3" s="1"/>
      <c r="C3" s="1" t="s">
        <v>119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119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119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119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119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7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293"/>
      <c r="C9" s="294"/>
      <c r="D9" s="294"/>
      <c r="E9" s="294"/>
      <c r="F9" s="294"/>
      <c r="G9" s="294"/>
      <c r="H9" s="294"/>
      <c r="I9" s="294"/>
      <c r="J9" s="295"/>
    </row>
    <row r="10" spans="1:10" ht="12" customHeight="1" x14ac:dyDescent="0.25">
      <c r="A10" s="1"/>
      <c r="B10" s="252"/>
      <c r="C10" s="1"/>
      <c r="D10" s="1"/>
      <c r="E10" s="1"/>
      <c r="F10" s="1"/>
      <c r="G10" s="1"/>
      <c r="H10" s="1"/>
      <c r="I10" s="1"/>
      <c r="J10" s="122"/>
    </row>
    <row r="11" spans="1:10" ht="14.1" customHeight="1" x14ac:dyDescent="0.25">
      <c r="A11" s="159"/>
      <c r="B11" s="54"/>
      <c r="C11" s="296" t="s">
        <v>1</v>
      </c>
      <c r="D11" s="297"/>
      <c r="E11" s="296" t="s">
        <v>2</v>
      </c>
      <c r="F11" s="297"/>
      <c r="G11" s="296" t="s">
        <v>3</v>
      </c>
      <c r="H11" s="297"/>
      <c r="I11" s="181"/>
      <c r="J11" s="242"/>
    </row>
    <row r="12" spans="1:10" ht="14.1" customHeight="1" x14ac:dyDescent="0.25">
      <c r="A12" s="1"/>
      <c r="B12" s="252"/>
      <c r="C12" s="102"/>
      <c r="D12" s="102"/>
      <c r="E12" s="102" t="s">
        <v>4</v>
      </c>
      <c r="F12" s="116">
        <v>79967</v>
      </c>
      <c r="G12" s="117" t="s">
        <v>5</v>
      </c>
      <c r="H12" s="116">
        <v>21768</v>
      </c>
      <c r="I12" s="181"/>
      <c r="J12" s="242"/>
    </row>
    <row r="13" spans="1:10" ht="15.75" customHeight="1" x14ac:dyDescent="0.25">
      <c r="A13" s="1"/>
      <c r="B13" s="252"/>
      <c r="C13" s="117" t="s">
        <v>6</v>
      </c>
      <c r="D13" s="119">
        <v>260782</v>
      </c>
      <c r="E13" s="117" t="s">
        <v>7</v>
      </c>
      <c r="F13" s="119">
        <v>169930</v>
      </c>
      <c r="G13" s="117" t="s">
        <v>8</v>
      </c>
      <c r="H13" s="119">
        <v>121832</v>
      </c>
      <c r="I13" s="181"/>
      <c r="J13" s="242"/>
    </row>
    <row r="14" spans="1:10" ht="14.25" customHeight="1" x14ac:dyDescent="0.25">
      <c r="A14" s="1"/>
      <c r="B14" s="252"/>
      <c r="C14" s="117" t="s">
        <v>9</v>
      </c>
      <c r="D14" s="119">
        <v>248782</v>
      </c>
      <c r="E14" s="117" t="s">
        <v>10</v>
      </c>
      <c r="F14" s="119">
        <v>19554</v>
      </c>
      <c r="G14" s="117" t="s">
        <v>11</v>
      </c>
      <c r="H14" s="119">
        <v>15290</v>
      </c>
      <c r="I14" s="181"/>
      <c r="J14" s="242"/>
    </row>
    <row r="15" spans="1:10" ht="15.75" customHeight="1" x14ac:dyDescent="0.25">
      <c r="A15" s="1"/>
      <c r="B15" s="252"/>
      <c r="C15" s="117" t="s">
        <v>75</v>
      </c>
      <c r="D15" s="119">
        <v>78220</v>
      </c>
      <c r="E15" s="149"/>
      <c r="F15" s="169"/>
      <c r="G15" s="167" t="s">
        <v>12</v>
      </c>
      <c r="H15" s="289">
        <v>11040</v>
      </c>
      <c r="I15" s="181"/>
      <c r="J15" s="242"/>
    </row>
    <row r="16" spans="1:10" ht="14.1" customHeight="1" x14ac:dyDescent="0.25">
      <c r="A16" s="1"/>
      <c r="B16" s="252"/>
      <c r="C16" s="180" t="s">
        <v>13</v>
      </c>
      <c r="D16" s="192">
        <f>SUM(D13:D15)</f>
        <v>587784</v>
      </c>
      <c r="E16" s="180" t="s">
        <v>14</v>
      </c>
      <c r="F16" s="192">
        <f>SUM(F12:F15)</f>
        <v>269451</v>
      </c>
      <c r="G16" s="180" t="s">
        <v>7</v>
      </c>
      <c r="H16" s="192">
        <f>SUM(H12:H15)</f>
        <v>169930</v>
      </c>
      <c r="J16" s="242"/>
    </row>
    <row r="17" spans="1:10" ht="15" customHeight="1" x14ac:dyDescent="0.25">
      <c r="A17" s="101"/>
      <c r="B17" s="24"/>
      <c r="C17" s="101" t="s">
        <v>135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39"/>
      <c r="C18" s="270"/>
      <c r="D18" s="270"/>
      <c r="E18" s="111"/>
      <c r="F18" s="270"/>
      <c r="G18" s="270"/>
      <c r="H18" s="270"/>
      <c r="I18" s="270"/>
      <c r="J18" s="186"/>
    </row>
    <row r="19" spans="1:10" ht="15" customHeight="1" x14ac:dyDescent="0.25">
      <c r="A19" s="1"/>
      <c r="B19" s="252"/>
      <c r="C19" s="256"/>
      <c r="D19" s="256"/>
      <c r="E19" s="273"/>
      <c r="F19" s="256"/>
      <c r="G19" s="256"/>
      <c r="H19" s="256"/>
      <c r="I19" s="256"/>
      <c r="J19" s="3"/>
    </row>
    <row r="20" spans="1:10" ht="15" customHeight="1" x14ac:dyDescent="0.25">
      <c r="A20" s="1"/>
      <c r="B20" s="252"/>
      <c r="C20" s="18" t="s">
        <v>15</v>
      </c>
      <c r="D20" s="256"/>
      <c r="E20" s="273"/>
      <c r="F20" s="256"/>
      <c r="G20" s="256"/>
      <c r="H20" s="204"/>
      <c r="I20" s="256"/>
      <c r="J20" s="3"/>
    </row>
    <row r="21" spans="1:10" ht="12" customHeight="1" x14ac:dyDescent="0.25">
      <c r="A21" s="1"/>
      <c r="B21" s="252"/>
      <c r="C21" s="31"/>
      <c r="D21" s="1"/>
      <c r="E21" s="1"/>
      <c r="F21" s="1"/>
      <c r="G21" s="1"/>
      <c r="H21" s="1"/>
      <c r="I21" s="1"/>
      <c r="J21" s="122"/>
    </row>
    <row r="22" spans="1:10" ht="61.5" customHeight="1" x14ac:dyDescent="0.25">
      <c r="A22" s="159"/>
      <c r="B22" s="54"/>
      <c r="C22" s="15" t="s">
        <v>16</v>
      </c>
      <c r="D22" s="113" t="s">
        <v>17</v>
      </c>
      <c r="E22" s="68" t="s">
        <v>18</v>
      </c>
      <c r="F22" s="68" t="s">
        <v>142</v>
      </c>
      <c r="G22" s="68" t="s">
        <v>143</v>
      </c>
      <c r="H22" s="68" t="s">
        <v>144</v>
      </c>
      <c r="I22" s="68" t="s">
        <v>145</v>
      </c>
      <c r="J22" s="278"/>
    </row>
    <row r="23" spans="1:10" ht="14.1" customHeight="1" x14ac:dyDescent="0.25">
      <c r="A23" s="1"/>
      <c r="B23" s="252"/>
      <c r="C23" s="16" t="s">
        <v>19</v>
      </c>
      <c r="D23" s="28">
        <v>79967</v>
      </c>
      <c r="E23" s="28">
        <v>86827</v>
      </c>
      <c r="F23" s="28">
        <f t="shared" ref="F23:I23" si="0">F25+F24</f>
        <v>705.22950000000003</v>
      </c>
      <c r="G23" s="28">
        <f t="shared" si="0"/>
        <v>64155.550799999997</v>
      </c>
      <c r="H23" s="11">
        <f t="shared" si="0"/>
        <v>22671.449200000003</v>
      </c>
      <c r="I23" s="11">
        <f t="shared" si="0"/>
        <v>79500.893349999998</v>
      </c>
      <c r="J23" s="242"/>
    </row>
    <row r="24" spans="1:10" ht="14.1" customHeight="1" x14ac:dyDescent="0.25">
      <c r="A24" s="1"/>
      <c r="B24" s="252"/>
      <c r="C24" s="47" t="s">
        <v>20</v>
      </c>
      <c r="D24" s="48">
        <v>79217</v>
      </c>
      <c r="E24" s="48">
        <v>86045</v>
      </c>
      <c r="F24" s="23">
        <f>705.2295</f>
        <v>705.22950000000003</v>
      </c>
      <c r="G24" s="23">
        <f>63664.49795</f>
        <v>63664.497949999997</v>
      </c>
      <c r="H24" s="23">
        <f>E24-G24</f>
        <v>22380.502050000003</v>
      </c>
      <c r="I24" s="23">
        <f>78923.98505</f>
        <v>78923.985050000003</v>
      </c>
      <c r="J24" s="242"/>
    </row>
    <row r="25" spans="1:10" ht="14.1" customHeight="1" x14ac:dyDescent="0.25">
      <c r="A25" s="1"/>
      <c r="B25" s="252"/>
      <c r="C25" s="50" t="s">
        <v>21</v>
      </c>
      <c r="D25" s="51">
        <v>750</v>
      </c>
      <c r="E25" s="51">
        <v>782</v>
      </c>
      <c r="F25" s="173">
        <f>0</f>
        <v>0</v>
      </c>
      <c r="G25" s="23">
        <f>491.05285</f>
        <v>491.05284999999998</v>
      </c>
      <c r="H25" s="23">
        <f>E25-G25</f>
        <v>290.94715000000002</v>
      </c>
      <c r="I25" s="23">
        <f>576.9083</f>
        <v>576.90830000000005</v>
      </c>
      <c r="J25" s="242"/>
    </row>
    <row r="26" spans="1:10" ht="14.1" customHeight="1" x14ac:dyDescent="0.25">
      <c r="A26" s="1"/>
      <c r="B26" s="252"/>
      <c r="C26" s="16" t="s">
        <v>22</v>
      </c>
      <c r="D26" s="28">
        <v>175233</v>
      </c>
      <c r="E26" s="28">
        <v>197570</v>
      </c>
      <c r="F26" s="28">
        <f t="shared" ref="F26:I26" si="1">F34+F33+F27</f>
        <v>436.70407</v>
      </c>
      <c r="G26" s="11">
        <f t="shared" si="1"/>
        <v>178558.24219999998</v>
      </c>
      <c r="H26" s="11">
        <f t="shared" si="1"/>
        <v>19011.757799999999</v>
      </c>
      <c r="I26" s="11">
        <f t="shared" si="1"/>
        <v>217349.61812999999</v>
      </c>
      <c r="J26" s="242"/>
    </row>
    <row r="27" spans="1:10" ht="15" customHeight="1" x14ac:dyDescent="0.25">
      <c r="A27" s="53"/>
      <c r="B27" s="55"/>
      <c r="C27" s="59" t="s">
        <v>23</v>
      </c>
      <c r="D27" s="60">
        <v>136975</v>
      </c>
      <c r="E27" s="60">
        <v>152651</v>
      </c>
      <c r="F27" s="134">
        <f>F28+F29+F30+F31+F32</f>
        <v>249.28122000000002</v>
      </c>
      <c r="G27" s="134">
        <f t="shared" ref="G27:I27" si="2">G28+G29+G30+G31+G32</f>
        <v>140792.26037999999</v>
      </c>
      <c r="H27" s="134">
        <f t="shared" si="2"/>
        <v>11858.73962</v>
      </c>
      <c r="I27" s="134">
        <f t="shared" si="2"/>
        <v>175665.25216999999</v>
      </c>
      <c r="J27" s="242"/>
    </row>
    <row r="28" spans="1:10" ht="14.1" customHeight="1" x14ac:dyDescent="0.25">
      <c r="A28" s="199"/>
      <c r="B28" s="184"/>
      <c r="C28" s="64" t="s">
        <v>24</v>
      </c>
      <c r="D28" s="65">
        <v>32925</v>
      </c>
      <c r="E28" s="65">
        <v>39549</v>
      </c>
      <c r="F28" s="205">
        <f>49.47639</f>
        <v>49.476390000000002</v>
      </c>
      <c r="G28" s="129">
        <f>37491.38909 - F57</f>
        <v>35456.389089999997</v>
      </c>
      <c r="H28" s="129">
        <f t="shared" ref="H28:H40" si="3">E28-G28</f>
        <v>4092.6109100000031</v>
      </c>
      <c r="I28" s="129">
        <f>43790.56664 - H57</f>
        <v>41210.566639999997</v>
      </c>
      <c r="J28" s="67"/>
    </row>
    <row r="29" spans="1:10" ht="14.1" customHeight="1" x14ac:dyDescent="0.25">
      <c r="A29" s="199"/>
      <c r="B29" s="184"/>
      <c r="C29" s="64" t="s">
        <v>25</v>
      </c>
      <c r="D29" s="65">
        <v>36657</v>
      </c>
      <c r="E29" s="65">
        <v>40764</v>
      </c>
      <c r="F29" s="129">
        <f>89.65985</f>
        <v>89.659850000000006</v>
      </c>
      <c r="G29" s="129">
        <f>40284.62625 - F58</f>
        <v>37789.626250000001</v>
      </c>
      <c r="H29" s="129">
        <f t="shared" si="3"/>
        <v>2974.3737499999988</v>
      </c>
      <c r="I29" s="129">
        <f>49135.39403 - H58</f>
        <v>47116.394030000003</v>
      </c>
      <c r="J29" s="67"/>
    </row>
    <row r="30" spans="1:10" ht="14.1" customHeight="1" x14ac:dyDescent="0.25">
      <c r="A30" s="199"/>
      <c r="B30" s="184"/>
      <c r="C30" s="64" t="s">
        <v>26</v>
      </c>
      <c r="D30" s="65">
        <v>33272</v>
      </c>
      <c r="E30" s="65">
        <v>37267</v>
      </c>
      <c r="F30" s="129">
        <f>8.11468</f>
        <v>8.1146799999999999</v>
      </c>
      <c r="G30" s="129">
        <f>37537.59444 - F59</f>
        <v>36369.594440000001</v>
      </c>
      <c r="H30" s="129">
        <f t="shared" si="3"/>
        <v>897.40555999999924</v>
      </c>
      <c r="I30" s="129">
        <f>48149.58273 - H59</f>
        <v>46974.582730000002</v>
      </c>
      <c r="J30" s="67"/>
    </row>
    <row r="31" spans="1:10" ht="14.1" customHeight="1" x14ac:dyDescent="0.25">
      <c r="A31" s="199"/>
      <c r="B31" s="184"/>
      <c r="C31" s="64" t="s">
        <v>27</v>
      </c>
      <c r="D31" s="65">
        <v>24281</v>
      </c>
      <c r="E31" s="65">
        <v>25407</v>
      </c>
      <c r="F31" s="129">
        <f>12.0303</f>
        <v>12.0303</v>
      </c>
      <c r="G31" s="129">
        <f>25209.6506 - F60</f>
        <v>24565.650600000001</v>
      </c>
      <c r="H31" s="129">
        <f t="shared" si="3"/>
        <v>841.34939999999915</v>
      </c>
      <c r="I31" s="129">
        <f>34277.70877 - H60</f>
        <v>33593.708769999997</v>
      </c>
      <c r="J31" s="67"/>
    </row>
    <row r="32" spans="1:10" ht="14.1" customHeight="1" x14ac:dyDescent="0.25">
      <c r="A32" s="199"/>
      <c r="B32" s="184"/>
      <c r="C32" s="64" t="s">
        <v>28</v>
      </c>
      <c r="D32" s="65">
        <v>9840</v>
      </c>
      <c r="E32" s="65">
        <v>9664</v>
      </c>
      <c r="F32" s="129">
        <f>E55</f>
        <v>90</v>
      </c>
      <c r="G32" s="129">
        <f>F55</f>
        <v>6611</v>
      </c>
      <c r="H32" s="129">
        <f t="shared" si="3"/>
        <v>3053</v>
      </c>
      <c r="I32" s="129">
        <f>H55</f>
        <v>6770</v>
      </c>
      <c r="J32" s="67"/>
    </row>
    <row r="33" spans="1:13" ht="14.1" customHeight="1" x14ac:dyDescent="0.25">
      <c r="A33" s="69"/>
      <c r="B33" s="55"/>
      <c r="C33" s="59" t="s">
        <v>29</v>
      </c>
      <c r="D33" s="60">
        <v>21768</v>
      </c>
      <c r="E33" s="60">
        <v>23586</v>
      </c>
      <c r="F33" s="134">
        <f>125.31177</f>
        <v>125.31177</v>
      </c>
      <c r="G33" s="134">
        <f>16686.74641</f>
        <v>16686.74641</v>
      </c>
      <c r="H33" s="134">
        <f t="shared" si="3"/>
        <v>6899.2535900000003</v>
      </c>
      <c r="I33" s="134">
        <f>20700.58135</f>
        <v>20700.58135</v>
      </c>
      <c r="J33" s="67"/>
    </row>
    <row r="34" spans="1:13" ht="14.1" customHeight="1" x14ac:dyDescent="0.25">
      <c r="A34" s="69"/>
      <c r="B34" s="55"/>
      <c r="C34" s="59" t="s">
        <v>30</v>
      </c>
      <c r="D34" s="60">
        <v>16490</v>
      </c>
      <c r="E34" s="60">
        <v>21333</v>
      </c>
      <c r="F34" s="134">
        <f>F35+F36</f>
        <v>62.111080000000001</v>
      </c>
      <c r="G34" s="134">
        <f>G35+G36</f>
        <v>21079.235410000001</v>
      </c>
      <c r="H34" s="134">
        <f t="shared" si="3"/>
        <v>253.76458999999886</v>
      </c>
      <c r="I34" s="134">
        <f>I35+I36</f>
        <v>20983.784609999999</v>
      </c>
      <c r="J34" s="67"/>
    </row>
    <row r="35" spans="1:13" ht="14.1" customHeight="1" x14ac:dyDescent="0.25">
      <c r="A35" s="199"/>
      <c r="B35" s="184"/>
      <c r="C35" s="64" t="s">
        <v>31</v>
      </c>
      <c r="D35" s="65">
        <v>15290</v>
      </c>
      <c r="E35" s="65">
        <v>20133</v>
      </c>
      <c r="F35" s="129">
        <f>39.11108</f>
        <v>39.111080000000001</v>
      </c>
      <c r="G35" s="134">
        <f>24841.23541 - F61 - F62</f>
        <v>20435.235410000001</v>
      </c>
      <c r="H35" s="129">
        <f t="shared" si="3"/>
        <v>-302.23541000000114</v>
      </c>
      <c r="I35" s="129">
        <f>21982.78461 - H61 - H62</f>
        <v>20299.784609999999</v>
      </c>
      <c r="J35" s="67"/>
    </row>
    <row r="36" spans="1:13" ht="14.1" customHeight="1" x14ac:dyDescent="0.25">
      <c r="A36" s="199"/>
      <c r="B36" s="184"/>
      <c r="C36" s="71" t="s">
        <v>32</v>
      </c>
      <c r="D36" s="72">
        <v>1200</v>
      </c>
      <c r="E36" s="72">
        <v>1200</v>
      </c>
      <c r="F36" s="73">
        <f>E60</f>
        <v>23</v>
      </c>
      <c r="G36" s="73">
        <f>F60</f>
        <v>644</v>
      </c>
      <c r="H36" s="73">
        <f t="shared" si="3"/>
        <v>556</v>
      </c>
      <c r="I36" s="73">
        <f>H60</f>
        <v>684</v>
      </c>
      <c r="J36" s="67"/>
    </row>
    <row r="37" spans="1:13" ht="15.75" customHeight="1" x14ac:dyDescent="0.25">
      <c r="A37" s="1"/>
      <c r="B37" s="252"/>
      <c r="C37" s="75" t="s">
        <v>33</v>
      </c>
      <c r="D37" s="145">
        <v>3000</v>
      </c>
      <c r="E37" s="145">
        <v>3000</v>
      </c>
      <c r="F37" s="141">
        <f>0</f>
        <v>0</v>
      </c>
      <c r="G37" s="141">
        <f>746.7916</f>
        <v>746.79160000000002</v>
      </c>
      <c r="H37" s="141">
        <f t="shared" si="3"/>
        <v>2253.2084</v>
      </c>
      <c r="I37" s="141">
        <f>445.0706</f>
        <v>445.07060000000001</v>
      </c>
      <c r="J37" s="242"/>
    </row>
    <row r="38" spans="1:13" ht="14.1" customHeight="1" x14ac:dyDescent="0.25">
      <c r="A38" s="1"/>
      <c r="B38" s="252"/>
      <c r="C38" s="75" t="s">
        <v>34</v>
      </c>
      <c r="D38" s="145">
        <v>851</v>
      </c>
      <c r="E38" s="145">
        <v>851</v>
      </c>
      <c r="F38" s="100">
        <f>2.1</f>
        <v>2.1</v>
      </c>
      <c r="G38" s="100">
        <f>509.24962</f>
        <v>509.24961999999999</v>
      </c>
      <c r="H38" s="100">
        <f t="shared" si="3"/>
        <v>341.75038000000001</v>
      </c>
      <c r="I38" s="100">
        <f>483.78233</f>
        <v>483.78233</v>
      </c>
      <c r="J38" s="242"/>
    </row>
    <row r="39" spans="1:13" ht="17.25" customHeight="1" x14ac:dyDescent="0.25">
      <c r="A39" s="1"/>
      <c r="B39" s="252"/>
      <c r="C39" s="75" t="s">
        <v>35</v>
      </c>
      <c r="D39" s="145">
        <v>3000</v>
      </c>
      <c r="E39" s="145">
        <v>3048</v>
      </c>
      <c r="F39" s="100">
        <f>E61</f>
        <v>3</v>
      </c>
      <c r="G39" s="100">
        <f>F61</f>
        <v>4406</v>
      </c>
      <c r="H39" s="100">
        <f t="shared" si="3"/>
        <v>-1358</v>
      </c>
      <c r="I39" s="100">
        <f>H61</f>
        <v>1683</v>
      </c>
      <c r="J39" s="242"/>
    </row>
    <row r="40" spans="1:13" ht="17.25" customHeight="1" x14ac:dyDescent="0.25">
      <c r="A40" s="1"/>
      <c r="B40" s="252"/>
      <c r="C40" s="75" t="s">
        <v>36</v>
      </c>
      <c r="D40" s="145">
        <v>7000</v>
      </c>
      <c r="E40" s="145">
        <v>7000</v>
      </c>
      <c r="F40" s="100">
        <f>3.27196</f>
        <v>3.27196</v>
      </c>
      <c r="G40" s="100">
        <v>7000</v>
      </c>
      <c r="H40" s="100">
        <f t="shared" si="3"/>
        <v>0</v>
      </c>
      <c r="I40" s="100">
        <v>7000</v>
      </c>
      <c r="J40" s="242"/>
    </row>
    <row r="41" spans="1:13" ht="17.25" customHeight="1" x14ac:dyDescent="0.25">
      <c r="A41" s="1"/>
      <c r="B41" s="252"/>
      <c r="C41" s="75" t="s">
        <v>38</v>
      </c>
      <c r="D41" s="145">
        <v>300</v>
      </c>
      <c r="E41" s="145">
        <v>300</v>
      </c>
      <c r="F41" s="100">
        <f>0.588</f>
        <v>0.58799999999999997</v>
      </c>
      <c r="G41" s="100">
        <f>357.10535</f>
        <v>357.10534999999999</v>
      </c>
      <c r="H41" s="100">
        <f>E41-G41</f>
        <v>-57.105349999999987</v>
      </c>
      <c r="I41" s="100">
        <f>125.18005</f>
        <v>125.18004999999999</v>
      </c>
      <c r="J41" s="242"/>
    </row>
    <row r="42" spans="1:13" ht="17.25" customHeight="1" x14ac:dyDescent="0.25">
      <c r="A42" s="1"/>
      <c r="B42" s="252"/>
      <c r="C42" s="75" t="s">
        <v>39</v>
      </c>
      <c r="D42" s="145">
        <v>100</v>
      </c>
      <c r="E42" s="145">
        <v>100</v>
      </c>
      <c r="F42" s="100"/>
      <c r="G42" s="100">
        <v>4.0000000000000001E-3</v>
      </c>
      <c r="H42" s="100">
        <f>E42-G42</f>
        <v>99.995999999999995</v>
      </c>
      <c r="I42" s="100"/>
      <c r="J42" s="242"/>
      <c r="M42" s="223"/>
    </row>
    <row r="43" spans="1:13" ht="14.1" customHeight="1" x14ac:dyDescent="0.25">
      <c r="A43" s="1"/>
      <c r="B43" s="252"/>
      <c r="C43" s="75" t="s">
        <v>40</v>
      </c>
      <c r="D43" s="145"/>
      <c r="E43" s="141"/>
      <c r="F43" s="100">
        <v>2.9999999999290594E-3</v>
      </c>
      <c r="G43" s="100">
        <v>79.557000000029802</v>
      </c>
      <c r="H43" s="100">
        <f>E43-G43</f>
        <v>-79.557000000029802</v>
      </c>
      <c r="I43" s="100">
        <v>120.93842999998014</v>
      </c>
      <c r="J43" s="242"/>
    </row>
    <row r="44" spans="1:13" ht="16.5" customHeight="1" x14ac:dyDescent="0.25">
      <c r="A44" s="1"/>
      <c r="B44" s="252"/>
      <c r="C44" s="76" t="s">
        <v>41</v>
      </c>
      <c r="D44" s="78">
        <f t="shared" ref="D44:I44" si="4">D23+D26+D37+D38+D39+D40+D41+D42+D43</f>
        <v>269451</v>
      </c>
      <c r="E44" s="78">
        <f t="shared" si="4"/>
        <v>298696</v>
      </c>
      <c r="F44" s="78">
        <f t="shared" si="4"/>
        <v>1150.89653</v>
      </c>
      <c r="G44" s="78">
        <f t="shared" si="4"/>
        <v>255812.50056999997</v>
      </c>
      <c r="H44" s="78">
        <f t="shared" si="4"/>
        <v>42883.499429999974</v>
      </c>
      <c r="I44" s="78">
        <f t="shared" si="4"/>
        <v>306708.48288999998</v>
      </c>
      <c r="J44" s="242"/>
    </row>
    <row r="45" spans="1:13" ht="14.1" customHeight="1" x14ac:dyDescent="0.25">
      <c r="A45" s="101"/>
      <c r="B45" s="24"/>
      <c r="C45" s="80" t="s">
        <v>127</v>
      </c>
      <c r="D45" s="256"/>
      <c r="E45" s="256"/>
      <c r="F45" s="82"/>
      <c r="G45" s="82"/>
      <c r="H45" s="226"/>
      <c r="I45" s="226"/>
      <c r="J45" s="83"/>
    </row>
    <row r="46" spans="1:13" ht="14.1" customHeight="1" x14ac:dyDescent="0.25">
      <c r="A46" s="101"/>
      <c r="B46" s="24"/>
      <c r="C46" s="84" t="s">
        <v>42</v>
      </c>
      <c r="D46" s="256"/>
      <c r="E46" s="256"/>
      <c r="F46" s="256"/>
      <c r="G46" s="82"/>
      <c r="H46" s="181"/>
      <c r="I46" s="181"/>
      <c r="J46" s="242"/>
    </row>
    <row r="47" spans="1:13" ht="14.1" customHeight="1" x14ac:dyDescent="0.25">
      <c r="A47" s="101"/>
      <c r="B47" s="24"/>
      <c r="C47" s="163" t="s">
        <v>146</v>
      </c>
      <c r="D47" s="256"/>
      <c r="E47" s="256"/>
      <c r="F47" s="256"/>
      <c r="G47" s="82"/>
      <c r="H47" s="181"/>
      <c r="I47" s="181"/>
      <c r="J47" s="122"/>
    </row>
    <row r="48" spans="1:13" ht="14.1" customHeight="1" x14ac:dyDescent="0.25">
      <c r="A48" s="101"/>
      <c r="B48" s="24"/>
      <c r="C48" s="163" t="s">
        <v>126</v>
      </c>
      <c r="D48" s="256"/>
      <c r="E48" s="256"/>
      <c r="F48" s="256"/>
      <c r="G48" s="256"/>
      <c r="H48" s="181"/>
      <c r="I48" s="181"/>
      <c r="J48" s="122"/>
    </row>
    <row r="49" spans="1:10" ht="14.1" customHeight="1" x14ac:dyDescent="0.25">
      <c r="A49" s="101"/>
      <c r="B49" s="24"/>
      <c r="C49" s="101" t="s">
        <v>43</v>
      </c>
      <c r="D49" s="256"/>
      <c r="E49" s="256"/>
      <c r="F49" s="256"/>
      <c r="G49" s="256"/>
      <c r="H49" s="181"/>
      <c r="I49" s="181"/>
      <c r="J49" s="122"/>
    </row>
    <row r="50" spans="1:10" ht="14.1" customHeight="1" x14ac:dyDescent="0.25">
      <c r="A50" s="101"/>
      <c r="B50" s="24"/>
      <c r="C50" s="101"/>
      <c r="D50" s="256"/>
      <c r="E50" s="256"/>
      <c r="F50" s="256"/>
      <c r="G50" s="256"/>
      <c r="H50" s="181"/>
      <c r="I50" s="181"/>
      <c r="J50" s="122"/>
    </row>
    <row r="51" spans="1:10" ht="20.25" customHeight="1" x14ac:dyDescent="0.25">
      <c r="A51" s="101"/>
      <c r="B51" s="239"/>
      <c r="C51" s="270"/>
      <c r="D51" s="270"/>
      <c r="E51" s="111"/>
      <c r="F51" s="270"/>
      <c r="G51" s="270"/>
      <c r="H51" s="270"/>
      <c r="I51" s="270"/>
      <c r="J51" s="186"/>
    </row>
    <row r="52" spans="1:10" ht="33" customHeight="1" x14ac:dyDescent="0.25">
      <c r="A52" s="101"/>
      <c r="B52" s="24"/>
      <c r="C52" s="298" t="s">
        <v>44</v>
      </c>
      <c r="D52" s="298"/>
      <c r="E52" s="298"/>
      <c r="F52" s="298"/>
      <c r="G52" s="298"/>
      <c r="H52" s="298"/>
      <c r="I52" s="85"/>
      <c r="J52" s="86"/>
    </row>
    <row r="53" spans="1:10" ht="7.5" customHeight="1" x14ac:dyDescent="0.25">
      <c r="A53" s="101"/>
      <c r="B53" s="24"/>
      <c r="C53" s="163"/>
      <c r="D53" s="256"/>
      <c r="E53" s="256"/>
      <c r="F53" s="256"/>
      <c r="G53" s="256"/>
      <c r="H53" s="181"/>
      <c r="I53" s="181"/>
      <c r="J53" s="122"/>
    </row>
    <row r="54" spans="1:10" ht="61.5" customHeight="1" x14ac:dyDescent="0.25">
      <c r="A54" s="101"/>
      <c r="B54" s="24"/>
      <c r="C54" s="88" t="s">
        <v>16</v>
      </c>
      <c r="D54" s="68" t="s">
        <v>45</v>
      </c>
      <c r="E54" s="68" t="s">
        <v>142</v>
      </c>
      <c r="F54" s="68" t="s">
        <v>143</v>
      </c>
      <c r="G54" s="68" t="s">
        <v>144</v>
      </c>
      <c r="H54" s="68" t="s">
        <v>145</v>
      </c>
      <c r="I54" s="256"/>
      <c r="J54" s="242"/>
    </row>
    <row r="55" spans="1:10" ht="14.1" customHeight="1" x14ac:dyDescent="0.25">
      <c r="A55" s="101"/>
      <c r="B55" s="24"/>
      <c r="C55" s="16" t="s">
        <v>46</v>
      </c>
      <c r="D55" s="299">
        <v>9840</v>
      </c>
      <c r="E55" s="11">
        <f>E59+E58+E57+E56</f>
        <v>90</v>
      </c>
      <c r="F55" s="11">
        <f>F59+F58+F57+F56</f>
        <v>6611</v>
      </c>
      <c r="G55" s="299">
        <f>D55-F55</f>
        <v>3229</v>
      </c>
      <c r="H55" s="11">
        <f>H59+H58+H57+H56</f>
        <v>6770</v>
      </c>
      <c r="I55" s="256"/>
      <c r="J55" s="242"/>
    </row>
    <row r="56" spans="1:10" ht="14.1" customHeight="1" x14ac:dyDescent="0.25">
      <c r="A56" s="101"/>
      <c r="B56" s="24"/>
      <c r="C56" s="64" t="s">
        <v>24</v>
      </c>
      <c r="D56" s="300"/>
      <c r="E56" s="129">
        <v>34</v>
      </c>
      <c r="F56" s="129">
        <v>913</v>
      </c>
      <c r="G56" s="300"/>
      <c r="H56" s="129">
        <v>996</v>
      </c>
      <c r="I56" s="256"/>
      <c r="J56" s="242"/>
    </row>
    <row r="57" spans="1:10" ht="14.1" customHeight="1" x14ac:dyDescent="0.25">
      <c r="A57" s="101"/>
      <c r="B57" s="24"/>
      <c r="C57" s="64" t="s">
        <v>25</v>
      </c>
      <c r="D57" s="300"/>
      <c r="E57" s="129">
        <v>47</v>
      </c>
      <c r="F57" s="129">
        <v>2035</v>
      </c>
      <c r="G57" s="300"/>
      <c r="H57" s="129">
        <v>2580</v>
      </c>
      <c r="I57" s="256"/>
      <c r="J57" s="242"/>
    </row>
    <row r="58" spans="1:10" ht="14.1" customHeight="1" x14ac:dyDescent="0.25">
      <c r="A58" s="101"/>
      <c r="B58" s="24"/>
      <c r="C58" s="64" t="s">
        <v>26</v>
      </c>
      <c r="D58" s="300"/>
      <c r="E58" s="129">
        <v>6</v>
      </c>
      <c r="F58" s="129">
        <v>2495</v>
      </c>
      <c r="G58" s="300"/>
      <c r="H58" s="129">
        <v>2019</v>
      </c>
      <c r="I58" s="256"/>
      <c r="J58" s="242"/>
    </row>
    <row r="59" spans="1:10" ht="14.1" customHeight="1" x14ac:dyDescent="0.25">
      <c r="A59" s="101"/>
      <c r="B59" s="24"/>
      <c r="C59" s="89" t="s">
        <v>27</v>
      </c>
      <c r="D59" s="301"/>
      <c r="E59" s="194">
        <v>3</v>
      </c>
      <c r="F59" s="194">
        <v>1168</v>
      </c>
      <c r="G59" s="301"/>
      <c r="H59" s="194">
        <v>1175</v>
      </c>
      <c r="I59" s="256"/>
      <c r="J59" s="242"/>
    </row>
    <row r="60" spans="1:10" ht="14.1" customHeight="1" x14ac:dyDescent="0.25">
      <c r="A60" s="101"/>
      <c r="B60" s="24"/>
      <c r="C60" s="91" t="s">
        <v>47</v>
      </c>
      <c r="D60" s="97">
        <v>1200</v>
      </c>
      <c r="E60" s="97">
        <v>23</v>
      </c>
      <c r="F60" s="97">
        <v>644</v>
      </c>
      <c r="G60" s="97">
        <f>D60-F60</f>
        <v>556</v>
      </c>
      <c r="H60" s="97">
        <v>684</v>
      </c>
      <c r="I60" s="256"/>
      <c r="J60" s="242"/>
    </row>
    <row r="61" spans="1:10" ht="14.1" customHeight="1" x14ac:dyDescent="0.25">
      <c r="A61" s="101"/>
      <c r="B61" s="24"/>
      <c r="C61" s="144" t="s">
        <v>48</v>
      </c>
      <c r="D61" s="141">
        <v>3000</v>
      </c>
      <c r="E61" s="141">
        <v>3</v>
      </c>
      <c r="F61" s="141">
        <v>4406</v>
      </c>
      <c r="G61" s="141">
        <f>D61-F61</f>
        <v>-1406</v>
      </c>
      <c r="H61" s="141">
        <v>1683</v>
      </c>
      <c r="I61" s="256"/>
      <c r="J61" s="242"/>
    </row>
    <row r="62" spans="1:10" ht="14.1" customHeight="1" x14ac:dyDescent="0.25">
      <c r="A62" s="101"/>
      <c r="B62" s="24"/>
      <c r="C62" s="80" t="s">
        <v>123</v>
      </c>
      <c r="D62" s="256"/>
      <c r="E62" s="256"/>
      <c r="F62" s="256"/>
      <c r="G62" s="256"/>
      <c r="H62" s="181"/>
      <c r="I62" s="181"/>
      <c r="J62" s="122"/>
    </row>
    <row r="63" spans="1:10" ht="14.1" customHeight="1" x14ac:dyDescent="0.25">
      <c r="A63" s="101"/>
      <c r="B63" s="24"/>
      <c r="C63" s="163"/>
      <c r="D63" s="256"/>
      <c r="E63" s="256"/>
      <c r="F63" s="256"/>
      <c r="G63" s="256"/>
      <c r="H63" s="181"/>
      <c r="I63" s="181"/>
      <c r="J63" s="122"/>
    </row>
    <row r="64" spans="1:10" ht="15" customHeight="1" x14ac:dyDescent="0.25">
      <c r="A64" s="101"/>
      <c r="B64" s="24"/>
      <c r="C64" s="163"/>
      <c r="D64" s="256"/>
      <c r="E64" s="256"/>
      <c r="F64" s="256"/>
      <c r="G64" s="256"/>
      <c r="H64" s="181"/>
      <c r="I64" s="181"/>
      <c r="J64" s="122"/>
    </row>
    <row r="65" spans="1:10" ht="12" customHeight="1" x14ac:dyDescent="0.25">
      <c r="A65" s="101"/>
      <c r="B65" s="94"/>
      <c r="C65" s="201"/>
      <c r="D65" s="61"/>
      <c r="E65" s="61"/>
      <c r="F65" s="61"/>
      <c r="G65" s="61"/>
      <c r="H65" s="108"/>
      <c r="I65" s="108"/>
      <c r="J65" s="120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6"/>
      <c r="D67" s="121"/>
      <c r="E67" s="121"/>
      <c r="F67" s="121"/>
      <c r="G67" s="121"/>
      <c r="H67" s="1"/>
      <c r="I67" s="1"/>
      <c r="J67" s="1"/>
    </row>
    <row r="68" spans="1:10" x14ac:dyDescent="0.25">
      <c r="B68" s="1" t="s">
        <v>119</v>
      </c>
      <c r="C68" s="286"/>
      <c r="D68" s="121"/>
      <c r="E68" s="121"/>
      <c r="F68" s="121"/>
      <c r="G68" s="121"/>
      <c r="H68" s="1"/>
      <c r="I68" s="1"/>
      <c r="J68" s="1"/>
    </row>
    <row r="78" spans="1:10" ht="17.100000000000001" customHeight="1" x14ac:dyDescent="0.25">
      <c r="B78" s="2"/>
      <c r="C78" s="217" t="s">
        <v>49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7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40"/>
      <c r="C80" s="156"/>
      <c r="D80" s="156"/>
      <c r="E80" s="156"/>
      <c r="F80" s="156"/>
      <c r="G80" s="156"/>
      <c r="H80" s="156"/>
      <c r="I80" s="156"/>
      <c r="J80" s="164"/>
    </row>
    <row r="81" spans="1:10" ht="16.5" customHeight="1" x14ac:dyDescent="0.25">
      <c r="B81" s="54"/>
      <c r="C81" s="296" t="s">
        <v>1</v>
      </c>
      <c r="D81" s="297"/>
      <c r="E81" s="296" t="s">
        <v>2</v>
      </c>
      <c r="F81" s="302"/>
      <c r="G81" s="296" t="s">
        <v>3</v>
      </c>
      <c r="H81" s="297"/>
      <c r="I81" s="181"/>
      <c r="J81" s="242"/>
    </row>
    <row r="82" spans="1:10" ht="15" customHeight="1" x14ac:dyDescent="0.25">
      <c r="B82" s="252"/>
      <c r="C82" s="117" t="s">
        <v>6</v>
      </c>
      <c r="D82" s="119">
        <v>84177</v>
      </c>
      <c r="E82" s="257" t="s">
        <v>4</v>
      </c>
      <c r="F82" s="116">
        <v>32035</v>
      </c>
      <c r="G82" s="193" t="s">
        <v>5</v>
      </c>
      <c r="H82" s="116">
        <v>9408</v>
      </c>
      <c r="I82" s="181"/>
      <c r="J82" s="242"/>
    </row>
    <row r="83" spans="1:10" ht="15" customHeight="1" x14ac:dyDescent="0.25">
      <c r="B83" s="252"/>
      <c r="C83" s="117" t="s">
        <v>9</v>
      </c>
      <c r="D83" s="119">
        <v>75177</v>
      </c>
      <c r="E83" s="246" t="s">
        <v>7</v>
      </c>
      <c r="F83" s="119">
        <v>52267</v>
      </c>
      <c r="G83" s="193" t="s">
        <v>8</v>
      </c>
      <c r="H83" s="119">
        <v>38678</v>
      </c>
      <c r="I83" s="181"/>
      <c r="J83" s="242"/>
    </row>
    <row r="84" spans="1:10" ht="14.1" customHeight="1" x14ac:dyDescent="0.25">
      <c r="B84" s="252"/>
      <c r="C84" s="117" t="s">
        <v>75</v>
      </c>
      <c r="D84" s="119">
        <v>10713</v>
      </c>
      <c r="E84" s="117" t="s">
        <v>10</v>
      </c>
      <c r="F84" s="119">
        <v>2254</v>
      </c>
      <c r="G84" s="193" t="s">
        <v>11</v>
      </c>
      <c r="H84" s="119">
        <v>4181</v>
      </c>
      <c r="I84" s="181"/>
      <c r="J84" s="242"/>
    </row>
    <row r="85" spans="1:10" ht="12" customHeight="1" x14ac:dyDescent="0.25">
      <c r="B85" s="252"/>
      <c r="C85" s="180" t="s">
        <v>50</v>
      </c>
      <c r="D85" s="192">
        <f>SUM(D82:D84)</f>
        <v>170067</v>
      </c>
      <c r="E85" s="180" t="s">
        <v>14</v>
      </c>
      <c r="F85" s="192">
        <f>SUM(F82:F84)</f>
        <v>86556</v>
      </c>
      <c r="G85" s="180" t="s">
        <v>7</v>
      </c>
      <c r="H85" s="192">
        <f>SUM(H82:H84)</f>
        <v>52267</v>
      </c>
      <c r="I85" s="181"/>
      <c r="J85" s="242"/>
    </row>
    <row r="86" spans="1:10" ht="14.25" customHeight="1" x14ac:dyDescent="0.25">
      <c r="A86" s="1"/>
      <c r="B86" s="252"/>
      <c r="C86" s="101" t="s">
        <v>136</v>
      </c>
      <c r="D86" s="218"/>
      <c r="E86" s="218"/>
      <c r="F86" s="218"/>
      <c r="G86" s="218"/>
      <c r="H86" s="218"/>
      <c r="I86" s="234"/>
      <c r="J86" s="122"/>
    </row>
    <row r="87" spans="1:10" ht="6" customHeight="1" x14ac:dyDescent="0.25">
      <c r="A87" s="1"/>
      <c r="B87" s="252"/>
      <c r="C87" s="98"/>
      <c r="D87" s="98"/>
      <c r="E87" s="98"/>
      <c r="F87" s="98"/>
      <c r="G87" s="98"/>
      <c r="H87" s="98"/>
      <c r="I87" s="234"/>
      <c r="J87" s="122"/>
    </row>
    <row r="88" spans="1:10" ht="14.1" customHeight="1" x14ac:dyDescent="0.25">
      <c r="A88" s="1"/>
      <c r="B88" s="135"/>
      <c r="C88" s="270"/>
      <c r="D88" s="111"/>
      <c r="E88" s="270"/>
      <c r="F88" s="270"/>
      <c r="G88" s="270"/>
      <c r="H88" s="270"/>
      <c r="I88" s="259"/>
      <c r="J88" s="186"/>
    </row>
    <row r="89" spans="1:10" ht="20.25" customHeight="1" x14ac:dyDescent="0.25">
      <c r="A89" s="1"/>
      <c r="B89" s="252"/>
      <c r="C89" s="18" t="str">
        <f>C20</f>
        <v>KVOTE- OG FANGSTOVERSIKT</v>
      </c>
      <c r="D89" s="98"/>
      <c r="E89" s="98"/>
      <c r="F89" s="98"/>
      <c r="G89" s="98"/>
      <c r="H89" s="98"/>
      <c r="I89" s="1"/>
      <c r="J89" s="122"/>
    </row>
    <row r="90" spans="1:10" ht="11.25" customHeight="1" x14ac:dyDescent="0.3">
      <c r="A90" s="1"/>
      <c r="B90" s="252"/>
      <c r="C90" s="288"/>
      <c r="D90" s="288"/>
      <c r="E90" s="288"/>
      <c r="F90" s="288"/>
      <c r="G90" s="288"/>
      <c r="H90" s="288"/>
      <c r="I90" s="288"/>
      <c r="J90" s="19"/>
    </row>
    <row r="91" spans="1:10" ht="54" customHeight="1" x14ac:dyDescent="0.25">
      <c r="A91" s="1"/>
      <c r="B91" s="252"/>
      <c r="C91" s="15" t="s">
        <v>16</v>
      </c>
      <c r="D91" s="113" t="s">
        <v>17</v>
      </c>
      <c r="E91" s="15" t="s">
        <v>51</v>
      </c>
      <c r="F91" s="15" t="s">
        <v>142</v>
      </c>
      <c r="G91" s="15" t="s">
        <v>143</v>
      </c>
      <c r="H91" s="15" t="s">
        <v>144</v>
      </c>
      <c r="I91" s="15" t="s">
        <v>145</v>
      </c>
      <c r="J91" s="122"/>
    </row>
    <row r="92" spans="1:10" ht="14.1" customHeight="1" x14ac:dyDescent="0.25">
      <c r="A92" s="1"/>
      <c r="B92" s="252"/>
      <c r="C92" s="32" t="s">
        <v>19</v>
      </c>
      <c r="D92" s="28">
        <v>32035</v>
      </c>
      <c r="E92" s="28">
        <f>E93+E94</f>
        <v>34799</v>
      </c>
      <c r="F92" s="11">
        <f t="shared" ref="F92:I92" si="5">F94+F93</f>
        <v>195.42684</v>
      </c>
      <c r="G92" s="11">
        <f t="shared" si="5"/>
        <v>40323.532050000002</v>
      </c>
      <c r="H92" s="11">
        <f t="shared" si="5"/>
        <v>-5524.5320500000016</v>
      </c>
      <c r="I92" s="11">
        <f t="shared" si="5"/>
        <v>36777.063829999999</v>
      </c>
      <c r="J92" s="242"/>
    </row>
    <row r="93" spans="1:10" ht="15" customHeight="1" x14ac:dyDescent="0.25">
      <c r="A93" s="1"/>
      <c r="B93" s="252"/>
      <c r="C93" s="47" t="s">
        <v>20</v>
      </c>
      <c r="D93" s="48">
        <v>31285</v>
      </c>
      <c r="E93" s="48">
        <v>33987</v>
      </c>
      <c r="F93" s="23">
        <f>195.42684</f>
        <v>195.42684</v>
      </c>
      <c r="G93" s="23">
        <f>39772.64626</f>
        <v>39772.646260000001</v>
      </c>
      <c r="H93" s="23">
        <f>E93-G93</f>
        <v>-5785.6462600000013</v>
      </c>
      <c r="I93" s="23">
        <f>36040.58522</f>
        <v>36040.585220000001</v>
      </c>
      <c r="J93" s="242"/>
    </row>
    <row r="94" spans="1:10" ht="14.1" customHeight="1" x14ac:dyDescent="0.25">
      <c r="A94" s="1"/>
      <c r="B94" s="252"/>
      <c r="C94" s="66" t="s">
        <v>21</v>
      </c>
      <c r="D94" s="51">
        <v>750</v>
      </c>
      <c r="E94" s="51">
        <v>812</v>
      </c>
      <c r="F94" s="52">
        <f>0</f>
        <v>0</v>
      </c>
      <c r="G94" s="52">
        <f>550.88579</f>
        <v>550.88579000000004</v>
      </c>
      <c r="H94" s="52">
        <f>E94-G94</f>
        <v>261.11420999999996</v>
      </c>
      <c r="I94" s="52">
        <f>736.47861</f>
        <v>736.47861</v>
      </c>
      <c r="J94" s="242"/>
    </row>
    <row r="95" spans="1:10" ht="15.75" customHeight="1" x14ac:dyDescent="0.25">
      <c r="A95" s="1"/>
      <c r="B95" s="54"/>
      <c r="C95" s="16" t="s">
        <v>22</v>
      </c>
      <c r="D95" s="28">
        <f>D96+D101+D102</f>
        <v>53851</v>
      </c>
      <c r="E95" s="28">
        <f t="shared" ref="E95:I95" si="6">E96+E101+E102</f>
        <v>59500</v>
      </c>
      <c r="F95" s="11">
        <f t="shared" si="6"/>
        <v>682.71206999999993</v>
      </c>
      <c r="G95" s="11">
        <f t="shared" si="6"/>
        <v>32752.402870000002</v>
      </c>
      <c r="H95" s="11">
        <f t="shared" si="6"/>
        <v>26747.597130000006</v>
      </c>
      <c r="I95" s="11">
        <f t="shared" si="6"/>
        <v>37210.156909999998</v>
      </c>
      <c r="J95" s="242"/>
    </row>
    <row r="96" spans="1:10" ht="14.1" customHeight="1" x14ac:dyDescent="0.25">
      <c r="A96" s="1"/>
      <c r="B96" s="55"/>
      <c r="C96" s="59" t="s">
        <v>23</v>
      </c>
      <c r="D96" s="60">
        <f>D97+D98+D99+D100</f>
        <v>40262</v>
      </c>
      <c r="E96" s="60">
        <f t="shared" ref="E96:I96" si="7">E97+E98+E99+E100</f>
        <v>44491</v>
      </c>
      <c r="F96" s="134">
        <f t="shared" si="7"/>
        <v>397.78323</v>
      </c>
      <c r="G96" s="134">
        <f t="shared" si="7"/>
        <v>23017.083870000002</v>
      </c>
      <c r="H96" s="134">
        <f t="shared" si="7"/>
        <v>21473.916130000005</v>
      </c>
      <c r="I96" s="134">
        <f t="shared" si="7"/>
        <v>28701.329309999997</v>
      </c>
      <c r="J96" s="242"/>
    </row>
    <row r="97" spans="1:10" ht="14.1" customHeight="1" x14ac:dyDescent="0.25">
      <c r="A97" s="199"/>
      <c r="B97" s="184"/>
      <c r="C97" s="64" t="s">
        <v>24</v>
      </c>
      <c r="D97" s="65">
        <v>10751</v>
      </c>
      <c r="E97" s="65">
        <v>11883.7</v>
      </c>
      <c r="F97" s="129">
        <f>220.3341</f>
        <v>220.33410000000001</v>
      </c>
      <c r="G97" s="129">
        <f>3919.53074</f>
        <v>3919.5307400000002</v>
      </c>
      <c r="H97" s="129">
        <f t="shared" ref="H97:H104" si="8">E97-G97</f>
        <v>7964.1692600000006</v>
      </c>
      <c r="I97" s="129">
        <f>3456.19313</f>
        <v>3456.1931300000001</v>
      </c>
      <c r="J97" s="242"/>
    </row>
    <row r="98" spans="1:10" ht="14.1" customHeight="1" x14ac:dyDescent="0.25">
      <c r="A98" s="199"/>
      <c r="B98" s="184"/>
      <c r="C98" s="64" t="s">
        <v>52</v>
      </c>
      <c r="D98" s="65">
        <v>11448</v>
      </c>
      <c r="E98" s="65">
        <v>12665.1</v>
      </c>
      <c r="F98" s="129">
        <f>120.31679</f>
        <v>120.31679</v>
      </c>
      <c r="G98" s="129">
        <f>7242.18752</f>
        <v>7242.1875200000004</v>
      </c>
      <c r="H98" s="129">
        <f t="shared" si="8"/>
        <v>5422.91248</v>
      </c>
      <c r="I98" s="129">
        <f>9489.4016</f>
        <v>9489.4015999999992</v>
      </c>
      <c r="J98" s="242"/>
    </row>
    <row r="99" spans="1:10" ht="14.1" customHeight="1" x14ac:dyDescent="0.25">
      <c r="A99" s="199"/>
      <c r="B99" s="184"/>
      <c r="C99" s="64" t="s">
        <v>53</v>
      </c>
      <c r="D99" s="65">
        <v>10830</v>
      </c>
      <c r="E99" s="65">
        <v>11965.6</v>
      </c>
      <c r="F99" s="129">
        <f>44.13508</f>
        <v>44.135080000000002</v>
      </c>
      <c r="G99" s="129">
        <f>6647.14887</f>
        <v>6647.14887</v>
      </c>
      <c r="H99" s="129">
        <f t="shared" si="8"/>
        <v>5318.4511300000004</v>
      </c>
      <c r="I99" s="129">
        <f>8178.24652</f>
        <v>8178.2465199999997</v>
      </c>
      <c r="J99" s="242"/>
    </row>
    <row r="100" spans="1:10" ht="14.1" customHeight="1" x14ac:dyDescent="0.25">
      <c r="A100" s="199"/>
      <c r="B100" s="184"/>
      <c r="C100" s="64" t="s">
        <v>27</v>
      </c>
      <c r="D100" s="65">
        <v>7233</v>
      </c>
      <c r="E100" s="65">
        <v>7976.6</v>
      </c>
      <c r="F100" s="129">
        <f>12.99726</f>
        <v>12.997260000000001</v>
      </c>
      <c r="G100" s="129">
        <f>5208.21674</f>
        <v>5208.2167399999998</v>
      </c>
      <c r="H100" s="129">
        <f t="shared" si="8"/>
        <v>2768.3832600000005</v>
      </c>
      <c r="I100" s="129">
        <f>7577.48806</f>
        <v>7577.4880599999997</v>
      </c>
      <c r="J100" s="242"/>
    </row>
    <row r="101" spans="1:10" ht="14.1" customHeight="1" x14ac:dyDescent="0.25">
      <c r="A101" s="199"/>
      <c r="B101" s="184"/>
      <c r="C101" s="59" t="s">
        <v>54</v>
      </c>
      <c r="D101" s="60">
        <v>9408</v>
      </c>
      <c r="E101" s="60">
        <v>10391</v>
      </c>
      <c r="F101" s="134">
        <f>207.8235</f>
        <v>207.8235</v>
      </c>
      <c r="G101" s="134">
        <f>7898.82163</f>
        <v>7898.8216300000004</v>
      </c>
      <c r="H101" s="134">
        <f t="shared" si="8"/>
        <v>2492.1783699999996</v>
      </c>
      <c r="I101" s="134">
        <f>6810.91563</f>
        <v>6810.9156300000004</v>
      </c>
      <c r="J101" s="242"/>
    </row>
    <row r="102" spans="1:10" ht="15.75" customHeight="1" x14ac:dyDescent="0.25">
      <c r="A102" s="1"/>
      <c r="B102" s="55"/>
      <c r="C102" s="38" t="s">
        <v>11</v>
      </c>
      <c r="D102" s="63">
        <v>4181</v>
      </c>
      <c r="E102" s="63">
        <v>4618</v>
      </c>
      <c r="F102" s="77">
        <f>77.10534</f>
        <v>77.105339999999998</v>
      </c>
      <c r="G102" s="77">
        <f>1836.49737</f>
        <v>1836.49737</v>
      </c>
      <c r="H102" s="77">
        <f t="shared" si="8"/>
        <v>2781.50263</v>
      </c>
      <c r="I102" s="77">
        <f>1697.91197</f>
        <v>1697.9119700000001</v>
      </c>
      <c r="J102" s="242"/>
    </row>
    <row r="103" spans="1:10" ht="15.75" customHeight="1" x14ac:dyDescent="0.25">
      <c r="A103" s="1"/>
      <c r="B103" s="55"/>
      <c r="C103" s="75" t="s">
        <v>34</v>
      </c>
      <c r="D103" s="92">
        <v>320</v>
      </c>
      <c r="E103" s="92">
        <v>320</v>
      </c>
      <c r="F103" s="100">
        <f>0</f>
        <v>0</v>
      </c>
      <c r="G103" s="100">
        <f>11.36609</f>
        <v>11.36609</v>
      </c>
      <c r="H103" s="100">
        <f t="shared" si="8"/>
        <v>308.63391000000001</v>
      </c>
      <c r="I103" s="100">
        <f>22.12719</f>
        <v>22.127189999999999</v>
      </c>
      <c r="J103" s="242"/>
    </row>
    <row r="104" spans="1:10" ht="18" customHeight="1" x14ac:dyDescent="0.25">
      <c r="A104" s="1"/>
      <c r="B104" s="252"/>
      <c r="C104" s="75" t="s">
        <v>55</v>
      </c>
      <c r="D104" s="145">
        <v>300</v>
      </c>
      <c r="E104" s="145">
        <v>300</v>
      </c>
      <c r="F104" s="141">
        <f>0.34206</f>
        <v>0.34205999999999998</v>
      </c>
      <c r="G104" s="141">
        <v>300</v>
      </c>
      <c r="H104" s="141">
        <f t="shared" si="8"/>
        <v>0</v>
      </c>
      <c r="I104" s="141">
        <v>300</v>
      </c>
      <c r="J104" s="242"/>
    </row>
    <row r="105" spans="1:10" ht="16.5" customHeight="1" x14ac:dyDescent="0.25">
      <c r="A105" s="1"/>
      <c r="B105" s="252"/>
      <c r="C105" s="95" t="s">
        <v>38</v>
      </c>
      <c r="D105" s="145">
        <v>50</v>
      </c>
      <c r="E105" s="145">
        <v>50</v>
      </c>
      <c r="F105" s="100">
        <f>0.45578</f>
        <v>0.45578000000000002</v>
      </c>
      <c r="G105" s="100">
        <f>11.49238</f>
        <v>11.492380000000001</v>
      </c>
      <c r="H105" s="141">
        <f>E105-G105</f>
        <v>38.507620000000003</v>
      </c>
      <c r="I105" s="100">
        <f>4.7883</f>
        <v>4.7882999999999996</v>
      </c>
      <c r="J105" s="242"/>
    </row>
    <row r="106" spans="1:10" ht="18" customHeight="1" x14ac:dyDescent="0.25">
      <c r="A106" s="1"/>
      <c r="B106" s="252"/>
      <c r="C106" s="95" t="s">
        <v>56</v>
      </c>
      <c r="D106" s="145"/>
      <c r="E106" s="141"/>
      <c r="F106" s="141">
        <v>0</v>
      </c>
      <c r="G106" s="141">
        <v>8.7677999999868916</v>
      </c>
      <c r="H106" s="141">
        <f>E106-G106</f>
        <v>-8.7677999999868916</v>
      </c>
      <c r="I106" s="141">
        <v>43.734779999998864</v>
      </c>
      <c r="J106" s="242"/>
    </row>
    <row r="107" spans="1:10" ht="16.5" customHeight="1" x14ac:dyDescent="0.25">
      <c r="A107" s="1"/>
      <c r="B107" s="252"/>
      <c r="C107" s="76" t="s">
        <v>41</v>
      </c>
      <c r="D107" s="78">
        <f>D92+D95+D103+D104+D105+D106</f>
        <v>86556</v>
      </c>
      <c r="E107" s="78">
        <f t="shared" ref="E107:I107" si="9">E92+E95+E103+E104+E105+E106</f>
        <v>94969</v>
      </c>
      <c r="F107" s="78">
        <f t="shared" si="9"/>
        <v>878.93674999999985</v>
      </c>
      <c r="G107" s="78">
        <f t="shared" si="9"/>
        <v>73407.561189999979</v>
      </c>
      <c r="H107" s="78">
        <f t="shared" si="9"/>
        <v>21561.438810000018</v>
      </c>
      <c r="I107" s="78">
        <f t="shared" si="9"/>
        <v>74357.871009999988</v>
      </c>
      <c r="J107" s="242"/>
    </row>
    <row r="108" spans="1:10" ht="13.5" customHeight="1" x14ac:dyDescent="0.25">
      <c r="A108" s="1"/>
      <c r="B108" s="252"/>
      <c r="C108" s="80" t="s">
        <v>125</v>
      </c>
      <c r="D108" s="103"/>
      <c r="E108" s="103"/>
      <c r="F108" s="104"/>
      <c r="G108" s="104"/>
      <c r="H108" s="106"/>
      <c r="I108" s="226"/>
      <c r="J108" s="242"/>
    </row>
    <row r="109" spans="1:10" ht="13.5" customHeight="1" x14ac:dyDescent="0.25">
      <c r="A109" s="1"/>
      <c r="B109" s="24"/>
      <c r="C109" s="163" t="s">
        <v>147</v>
      </c>
      <c r="D109" s="256"/>
      <c r="E109" s="256"/>
      <c r="F109" s="82"/>
      <c r="G109" s="82"/>
      <c r="H109" s="226"/>
      <c r="I109" s="226"/>
      <c r="J109" s="107"/>
    </row>
    <row r="110" spans="1:10" ht="15" customHeight="1" x14ac:dyDescent="0.25">
      <c r="A110" s="1"/>
      <c r="B110" s="24"/>
      <c r="C110" s="163" t="s">
        <v>124</v>
      </c>
      <c r="D110" s="256"/>
      <c r="E110" s="256"/>
      <c r="F110" s="82"/>
      <c r="G110" s="82"/>
      <c r="H110" s="226"/>
      <c r="I110" s="226"/>
      <c r="J110" s="107"/>
    </row>
    <row r="111" spans="1:10" ht="15" customHeight="1" x14ac:dyDescent="0.25">
      <c r="A111" s="1"/>
      <c r="B111" s="24"/>
      <c r="C111" s="226" t="s">
        <v>57</v>
      </c>
      <c r="D111" s="256"/>
      <c r="E111" s="256"/>
      <c r="F111" s="82"/>
      <c r="G111" s="82"/>
      <c r="H111" s="226"/>
      <c r="I111" s="226"/>
      <c r="J111" s="107"/>
    </row>
    <row r="112" spans="1:10" ht="12" customHeight="1" x14ac:dyDescent="0.25">
      <c r="A112" s="1"/>
      <c r="B112" s="94"/>
      <c r="C112" s="109"/>
      <c r="D112" s="114"/>
      <c r="E112" s="114"/>
      <c r="F112" s="114"/>
      <c r="G112" s="114"/>
      <c r="H112" s="114"/>
      <c r="I112" s="201"/>
      <c r="J112" s="115"/>
    </row>
    <row r="113" spans="1:10" ht="12" customHeight="1" x14ac:dyDescent="0.25">
      <c r="A113" s="1"/>
      <c r="B113" s="101"/>
      <c r="C113" s="1" t="s">
        <v>119</v>
      </c>
      <c r="D113" s="226"/>
      <c r="E113" s="226"/>
      <c r="F113" s="226"/>
      <c r="G113" s="226"/>
      <c r="H113" s="226"/>
      <c r="I113" s="101"/>
      <c r="J113" s="101" t="s">
        <v>119</v>
      </c>
    </row>
    <row r="114" spans="1:10" ht="14.25" customHeight="1" x14ac:dyDescent="0.25">
      <c r="A114" s="1"/>
      <c r="B114" s="101"/>
      <c r="C114" s="101" t="s">
        <v>119</v>
      </c>
      <c r="D114" s="101" t="s">
        <v>119</v>
      </c>
      <c r="E114" s="101"/>
      <c r="F114" s="101"/>
      <c r="G114" s="101"/>
      <c r="H114" s="101"/>
      <c r="I114" s="101"/>
      <c r="J114" s="101" t="s">
        <v>119</v>
      </c>
    </row>
    <row r="115" spans="1:10" ht="17.100000000000001" customHeight="1" x14ac:dyDescent="0.25">
      <c r="A115" s="216"/>
      <c r="B115" s="216"/>
      <c r="C115" s="217" t="s">
        <v>58</v>
      </c>
      <c r="D115" s="216"/>
      <c r="E115" s="216"/>
      <c r="F115" s="216"/>
      <c r="G115" s="216"/>
      <c r="H115" s="216"/>
      <c r="I115" s="216"/>
      <c r="J115" s="216"/>
    </row>
    <row r="116" spans="1:10" ht="3" customHeight="1" x14ac:dyDescent="0.25">
      <c r="A116" s="216"/>
      <c r="B116" s="216"/>
      <c r="C116" s="217"/>
      <c r="D116" s="216"/>
      <c r="E116" s="216"/>
      <c r="F116" s="216"/>
      <c r="G116" s="216"/>
      <c r="H116" s="216"/>
      <c r="I116" s="216"/>
      <c r="J116" s="216"/>
    </row>
    <row r="117" spans="1:10" ht="14.1" customHeight="1" x14ac:dyDescent="0.25">
      <c r="A117" s="1"/>
      <c r="B117" s="140"/>
      <c r="C117" s="156"/>
      <c r="D117" s="156"/>
      <c r="E117" s="156"/>
      <c r="F117" s="156"/>
      <c r="G117" s="156"/>
      <c r="H117" s="156"/>
      <c r="I117" s="156"/>
      <c r="J117" s="164"/>
    </row>
    <row r="118" spans="1:10" ht="15" customHeight="1" x14ac:dyDescent="0.25">
      <c r="A118" s="1"/>
      <c r="B118" s="54"/>
      <c r="C118" s="151" t="s">
        <v>1</v>
      </c>
      <c r="D118" s="187"/>
      <c r="E118" s="151" t="s">
        <v>2</v>
      </c>
      <c r="F118" s="187"/>
      <c r="G118" s="151" t="s">
        <v>3</v>
      </c>
      <c r="H118" s="187"/>
      <c r="I118" s="181"/>
      <c r="J118" s="242"/>
    </row>
    <row r="119" spans="1:10" ht="14.1" customHeight="1" x14ac:dyDescent="0.25">
      <c r="A119" s="1"/>
      <c r="B119" s="252"/>
      <c r="C119" s="117" t="s">
        <v>6</v>
      </c>
      <c r="D119" s="119">
        <v>212994</v>
      </c>
      <c r="E119" s="102" t="s">
        <v>4</v>
      </c>
      <c r="F119" s="116">
        <v>77294</v>
      </c>
      <c r="G119" s="117" t="s">
        <v>5</v>
      </c>
      <c r="H119" s="116">
        <v>8732</v>
      </c>
      <c r="I119" s="181"/>
      <c r="J119" s="242"/>
    </row>
    <row r="120" spans="1:10" ht="14.1" customHeight="1" x14ac:dyDescent="0.25">
      <c r="A120" s="1"/>
      <c r="B120" s="252"/>
      <c r="C120" s="117" t="s">
        <v>9</v>
      </c>
      <c r="D120" s="119">
        <v>12100</v>
      </c>
      <c r="E120" s="117" t="s">
        <v>7</v>
      </c>
      <c r="F120" s="119">
        <v>79383</v>
      </c>
      <c r="G120" s="117" t="s">
        <v>8</v>
      </c>
      <c r="H120" s="119">
        <v>59537</v>
      </c>
      <c r="I120" s="181"/>
      <c r="J120" s="242"/>
    </row>
    <row r="121" spans="1:10" ht="14.1" customHeight="1" x14ac:dyDescent="0.25">
      <c r="A121" s="1"/>
      <c r="B121" s="252"/>
      <c r="C121" s="246" t="s">
        <v>59</v>
      </c>
      <c r="D121" s="119">
        <v>1700</v>
      </c>
      <c r="E121" s="117" t="s">
        <v>60</v>
      </c>
      <c r="F121" s="119">
        <v>52226</v>
      </c>
      <c r="G121" s="117" t="s">
        <v>11</v>
      </c>
      <c r="H121" s="119">
        <v>11114</v>
      </c>
      <c r="I121" s="181"/>
      <c r="J121" s="242"/>
    </row>
    <row r="122" spans="1:10" ht="14.1" customHeight="1" x14ac:dyDescent="0.25">
      <c r="A122" s="1"/>
      <c r="B122" s="155"/>
      <c r="C122" s="167"/>
      <c r="D122" s="193"/>
      <c r="E122" s="193" t="s">
        <v>61</v>
      </c>
      <c r="F122" s="119">
        <v>4091</v>
      </c>
      <c r="G122" s="117"/>
      <c r="H122" s="167"/>
      <c r="I122" s="181"/>
      <c r="J122" s="242"/>
    </row>
    <row r="123" spans="1:10" ht="12" customHeight="1" x14ac:dyDescent="0.25">
      <c r="A123" s="1"/>
      <c r="B123" s="252"/>
      <c r="C123" s="180" t="s">
        <v>50</v>
      </c>
      <c r="D123" s="192">
        <v>226794</v>
      </c>
      <c r="E123" s="112" t="s">
        <v>14</v>
      </c>
      <c r="F123" s="192">
        <v>212994</v>
      </c>
      <c r="G123" s="180" t="s">
        <v>7</v>
      </c>
      <c r="H123" s="35">
        <v>79383</v>
      </c>
      <c r="I123" s="181"/>
      <c r="J123" s="242"/>
    </row>
    <row r="124" spans="1:10" ht="12" customHeight="1" x14ac:dyDescent="0.25">
      <c r="A124" s="101"/>
      <c r="B124" s="24"/>
      <c r="C124" s="101" t="s">
        <v>128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39"/>
      <c r="C125" s="270"/>
      <c r="D125" s="270"/>
      <c r="E125" s="231"/>
      <c r="F125" s="231"/>
      <c r="G125" s="231"/>
      <c r="H125" s="231"/>
      <c r="I125" s="231"/>
      <c r="J125" s="243"/>
    </row>
    <row r="126" spans="1:10" ht="25.5" customHeight="1" x14ac:dyDescent="0.25">
      <c r="A126" s="1"/>
      <c r="B126" s="252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2"/>
    </row>
    <row r="127" spans="1:10" ht="53.25" customHeight="1" x14ac:dyDescent="0.25">
      <c r="A127" s="159"/>
      <c r="B127" s="54"/>
      <c r="C127" s="262" t="s">
        <v>16</v>
      </c>
      <c r="D127" s="15" t="s">
        <v>17</v>
      </c>
      <c r="E127" s="15" t="s">
        <v>62</v>
      </c>
      <c r="F127" s="15" t="s">
        <v>142</v>
      </c>
      <c r="G127" s="15" t="s">
        <v>143</v>
      </c>
      <c r="H127" s="15" t="s">
        <v>144</v>
      </c>
      <c r="I127" s="15" t="s">
        <v>145</v>
      </c>
      <c r="J127" s="278"/>
    </row>
    <row r="128" spans="1:10" ht="14.1" customHeight="1" x14ac:dyDescent="0.25">
      <c r="A128" s="1"/>
      <c r="B128" s="252"/>
      <c r="C128" s="16" t="s">
        <v>63</v>
      </c>
      <c r="D128" s="28">
        <v>77294</v>
      </c>
      <c r="E128" s="28">
        <f t="shared" ref="E128" si="10">E129+E130+E131</f>
        <v>70707</v>
      </c>
      <c r="F128" s="11">
        <f t="shared" ref="F128:I128" si="11">F129+F130+F131</f>
        <v>287.39895000000001</v>
      </c>
      <c r="G128" s="11">
        <f t="shared" si="11"/>
        <v>58163.692300000002</v>
      </c>
      <c r="H128" s="11">
        <f t="shared" si="11"/>
        <v>12543.307699999996</v>
      </c>
      <c r="I128" s="11">
        <f t="shared" si="11"/>
        <v>55826.097280000009</v>
      </c>
      <c r="J128" s="242"/>
    </row>
    <row r="129" spans="1:10" ht="14.1" customHeight="1" x14ac:dyDescent="0.25">
      <c r="A129" s="1"/>
      <c r="B129" s="252"/>
      <c r="C129" s="47" t="s">
        <v>20</v>
      </c>
      <c r="D129" s="48">
        <v>61835</v>
      </c>
      <c r="E129" s="48">
        <v>56225</v>
      </c>
      <c r="F129" s="23">
        <f>276.71895</f>
        <v>276.71895000000001</v>
      </c>
      <c r="G129" s="23">
        <f>50809.85255</f>
        <v>50809.852550000003</v>
      </c>
      <c r="H129" s="23">
        <f>E129-G129</f>
        <v>5415.1474499999968</v>
      </c>
      <c r="I129" s="23">
        <f>47337.77982</f>
        <v>47337.779820000003</v>
      </c>
      <c r="J129" s="242"/>
    </row>
    <row r="130" spans="1:10" ht="15" customHeight="1" x14ac:dyDescent="0.25">
      <c r="A130" s="1"/>
      <c r="B130" s="252"/>
      <c r="C130" s="47" t="s">
        <v>21</v>
      </c>
      <c r="D130" s="48">
        <v>14959</v>
      </c>
      <c r="E130" s="48">
        <v>13982</v>
      </c>
      <c r="F130" s="23">
        <f>0</f>
        <v>0</v>
      </c>
      <c r="G130" s="23">
        <f>7220.0797</f>
        <v>7220.0797000000002</v>
      </c>
      <c r="H130" s="23">
        <f>E130-G130</f>
        <v>6761.9202999999998</v>
      </c>
      <c r="I130" s="23">
        <f>8253.90946</f>
        <v>8253.9094600000008</v>
      </c>
      <c r="J130" s="242"/>
    </row>
    <row r="131" spans="1:10" ht="13.5" customHeight="1" x14ac:dyDescent="0.25">
      <c r="A131" s="1"/>
      <c r="B131" s="252"/>
      <c r="C131" s="50" t="s">
        <v>64</v>
      </c>
      <c r="D131" s="33">
        <v>500</v>
      </c>
      <c r="E131" s="33">
        <v>500</v>
      </c>
      <c r="F131" s="23">
        <f>10.68</f>
        <v>10.68</v>
      </c>
      <c r="G131" s="23">
        <f>133.76005</f>
        <v>133.76005000000001</v>
      </c>
      <c r="H131" s="58">
        <f>E131-G131</f>
        <v>366.23995000000002</v>
      </c>
      <c r="I131" s="23">
        <f>234.408</f>
        <v>234.40799999999999</v>
      </c>
      <c r="J131" s="242"/>
    </row>
    <row r="132" spans="1:10" ht="14.25" customHeight="1" x14ac:dyDescent="0.25">
      <c r="A132" s="70"/>
      <c r="B132" s="81"/>
      <c r="C132" s="91" t="s">
        <v>65</v>
      </c>
      <c r="D132" s="93">
        <v>52226</v>
      </c>
      <c r="E132" s="93">
        <v>49285</v>
      </c>
      <c r="F132" s="97">
        <f>1.654</f>
        <v>1.6539999999999999</v>
      </c>
      <c r="G132" s="97">
        <f>38802.81518 + 7142.61213</f>
        <v>45945.427309999999</v>
      </c>
      <c r="H132" s="97">
        <f>E132-G132</f>
        <v>3339.5726900000009</v>
      </c>
      <c r="I132" s="97">
        <f>40664.96848</f>
        <v>40664.968480000003</v>
      </c>
      <c r="J132" s="118"/>
    </row>
    <row r="133" spans="1:10" ht="15.75" customHeight="1" x14ac:dyDescent="0.25">
      <c r="A133" s="1"/>
      <c r="B133" s="252"/>
      <c r="C133" s="144" t="s">
        <v>22</v>
      </c>
      <c r="D133" s="145">
        <v>80892</v>
      </c>
      <c r="E133" s="145">
        <f>E134+E139+E142</f>
        <v>81112</v>
      </c>
      <c r="F133" s="96">
        <f>F134+F139+F142</f>
        <v>813.10243999999989</v>
      </c>
      <c r="G133" s="96">
        <f t="shared" ref="G133" si="12">G134+G139+G142</f>
        <v>62276.575920000003</v>
      </c>
      <c r="H133" s="96">
        <f>H134+H139+H142</f>
        <v>18835.424079999997</v>
      </c>
      <c r="I133" s="96">
        <f>I134+I139+I142</f>
        <v>65629.404790000001</v>
      </c>
      <c r="J133" s="122"/>
    </row>
    <row r="134" spans="1:10" ht="14.1" customHeight="1" x14ac:dyDescent="0.25">
      <c r="A134" s="1"/>
      <c r="B134" s="54"/>
      <c r="C134" s="123" t="s">
        <v>66</v>
      </c>
      <c r="D134" s="125">
        <v>61046</v>
      </c>
      <c r="E134" s="125">
        <f>E135+E136+E137+E138</f>
        <v>59633</v>
      </c>
      <c r="F134" s="127">
        <f>F135+F136+F137+F138</f>
        <v>636.11910999999998</v>
      </c>
      <c r="G134" s="127">
        <f>G135+G136+G138+G137</f>
        <v>47866.155880000006</v>
      </c>
      <c r="H134" s="127">
        <f>H135+H136+H137+H138</f>
        <v>11766.844119999998</v>
      </c>
      <c r="I134" s="127">
        <f>I135+I136+I137+I138</f>
        <v>51770.113620000004</v>
      </c>
      <c r="J134" s="278"/>
    </row>
    <row r="135" spans="1:10" ht="14.1" customHeight="1" x14ac:dyDescent="0.25">
      <c r="A135" s="199"/>
      <c r="B135" s="128"/>
      <c r="C135" s="64" t="s">
        <v>24</v>
      </c>
      <c r="D135" s="65">
        <v>16203</v>
      </c>
      <c r="E135" s="65">
        <v>17538</v>
      </c>
      <c r="F135" s="129">
        <f>232.88332</f>
        <v>232.88332</v>
      </c>
      <c r="G135" s="129">
        <v>9221.3778700000003</v>
      </c>
      <c r="H135" s="129">
        <f>E135-G135</f>
        <v>8316.6221299999997</v>
      </c>
      <c r="I135" s="129">
        <f>8677.8355</f>
        <v>8677.8354999999992</v>
      </c>
      <c r="J135" s="130"/>
    </row>
    <row r="136" spans="1:10" ht="14.1" customHeight="1" x14ac:dyDescent="0.25">
      <c r="A136" s="199"/>
      <c r="B136" s="184"/>
      <c r="C136" s="64" t="s">
        <v>52</v>
      </c>
      <c r="D136" s="65">
        <v>16593</v>
      </c>
      <c r="E136" s="65">
        <v>15118</v>
      </c>
      <c r="F136" s="129">
        <f>123.57681</f>
        <v>123.57680999999999</v>
      </c>
      <c r="G136" s="129">
        <v>14281.334629999999</v>
      </c>
      <c r="H136" s="129">
        <f>E136-G136</f>
        <v>836.66537000000062</v>
      </c>
      <c r="I136" s="129">
        <f>11661.94143</f>
        <v>11661.941430000001</v>
      </c>
      <c r="J136" s="131"/>
    </row>
    <row r="137" spans="1:10" ht="14.1" customHeight="1" x14ac:dyDescent="0.25">
      <c r="A137" s="199"/>
      <c r="B137" s="184"/>
      <c r="C137" s="64" t="s">
        <v>53</v>
      </c>
      <c r="D137" s="65">
        <v>15164</v>
      </c>
      <c r="E137" s="65">
        <v>15056</v>
      </c>
      <c r="F137" s="129">
        <f>94.31828</f>
        <v>94.318280000000001</v>
      </c>
      <c r="G137" s="129">
        <v>13390.436970000002</v>
      </c>
      <c r="H137" s="129">
        <f>E137-G137</f>
        <v>1665.5630299999975</v>
      </c>
      <c r="I137" s="129">
        <f>16782.36201</f>
        <v>16782.362010000001</v>
      </c>
      <c r="J137" s="131"/>
    </row>
    <row r="138" spans="1:10" ht="14.1" customHeight="1" x14ac:dyDescent="0.25">
      <c r="A138" s="199"/>
      <c r="B138" s="184"/>
      <c r="C138" s="64" t="s">
        <v>27</v>
      </c>
      <c r="D138" s="65">
        <v>13085</v>
      </c>
      <c r="E138" s="65">
        <v>11921</v>
      </c>
      <c r="F138" s="129">
        <f>185.3407</f>
        <v>185.3407</v>
      </c>
      <c r="G138" s="129">
        <v>10973.00641</v>
      </c>
      <c r="H138" s="129">
        <f>E138-G138</f>
        <v>947.99359000000004</v>
      </c>
      <c r="I138" s="129">
        <f>14647.97468</f>
        <v>14647.974679999999</v>
      </c>
      <c r="J138" s="131"/>
    </row>
    <row r="139" spans="1:10" ht="14.1" customHeight="1" x14ac:dyDescent="0.25">
      <c r="A139" s="69"/>
      <c r="B139" s="55"/>
      <c r="C139" s="59" t="s">
        <v>29</v>
      </c>
      <c r="D139" s="60">
        <v>8732</v>
      </c>
      <c r="E139" s="60">
        <f>E141+E140</f>
        <v>9451</v>
      </c>
      <c r="F139" s="134">
        <f>SUM(F140:F141)</f>
        <v>13.9734</v>
      </c>
      <c r="G139" s="134">
        <f>SUM(G140:G141)</f>
        <v>7261.1929499999997</v>
      </c>
      <c r="H139" s="134">
        <f>H140+H141</f>
        <v>2189.8070499999999</v>
      </c>
      <c r="I139" s="134">
        <f>SUM(I140:I141)</f>
        <v>6568.8697300000003</v>
      </c>
      <c r="J139" s="136"/>
    </row>
    <row r="140" spans="1:10" ht="14.1" customHeight="1" x14ac:dyDescent="0.25">
      <c r="A140" s="1"/>
      <c r="B140" s="252"/>
      <c r="C140" s="64" t="s">
        <v>67</v>
      </c>
      <c r="D140" s="65">
        <v>8232</v>
      </c>
      <c r="E140" s="65">
        <v>8951</v>
      </c>
      <c r="F140" s="129">
        <f>11.5824</f>
        <v>11.5824</v>
      </c>
      <c r="G140" s="129">
        <f>6998.17429</f>
        <v>6998.1742899999999</v>
      </c>
      <c r="H140" s="129">
        <f t="shared" ref="H140:H147" si="13">E140-G140</f>
        <v>1952.8257100000001</v>
      </c>
      <c r="I140" s="129">
        <f>6273.99048</f>
        <v>6273.9904800000004</v>
      </c>
      <c r="J140" s="122"/>
    </row>
    <row r="141" spans="1:10" ht="15" customHeight="1" x14ac:dyDescent="0.25">
      <c r="A141" s="1"/>
      <c r="B141" s="55"/>
      <c r="C141" s="64" t="s">
        <v>68</v>
      </c>
      <c r="D141" s="65">
        <v>500</v>
      </c>
      <c r="E141" s="65">
        <v>500</v>
      </c>
      <c r="F141" s="129">
        <f>2.391</f>
        <v>2.391</v>
      </c>
      <c r="G141" s="129">
        <f>263.01866</f>
        <v>263.01866000000001</v>
      </c>
      <c r="H141" s="129">
        <f t="shared" si="13"/>
        <v>236.98133999999999</v>
      </c>
      <c r="I141" s="129">
        <f>294.87925</f>
        <v>294.87925000000001</v>
      </c>
      <c r="J141" s="137"/>
    </row>
    <row r="142" spans="1:10" ht="15.75" customHeight="1" x14ac:dyDescent="0.25">
      <c r="A142" s="1"/>
      <c r="B142" s="252"/>
      <c r="C142" s="38" t="s">
        <v>11</v>
      </c>
      <c r="D142" s="63">
        <v>11114</v>
      </c>
      <c r="E142" s="63">
        <v>12028</v>
      </c>
      <c r="F142" s="77">
        <f>163.00993</f>
        <v>163.00993</v>
      </c>
      <c r="G142" s="77">
        <f>7149.22709</f>
        <v>7149.2270900000003</v>
      </c>
      <c r="H142" s="77">
        <f t="shared" si="13"/>
        <v>4878.7729099999997</v>
      </c>
      <c r="I142" s="77">
        <f>7290.42144</f>
        <v>7290.4214400000001</v>
      </c>
      <c r="J142" s="122"/>
    </row>
    <row r="143" spans="1:10" ht="15.75" customHeight="1" x14ac:dyDescent="0.25">
      <c r="A143" s="1"/>
      <c r="B143" s="252"/>
      <c r="C143" s="144" t="s">
        <v>34</v>
      </c>
      <c r="D143" s="145">
        <v>137</v>
      </c>
      <c r="E143" s="145">
        <v>137</v>
      </c>
      <c r="F143" s="141">
        <f>0.14175</f>
        <v>0.14174999999999999</v>
      </c>
      <c r="G143" s="141">
        <f>31.8374</f>
        <v>31.837399999999999</v>
      </c>
      <c r="H143" s="141">
        <f t="shared" si="13"/>
        <v>105.1626</v>
      </c>
      <c r="I143" s="141">
        <f>28.00367</f>
        <v>28.00367</v>
      </c>
      <c r="J143" s="122"/>
    </row>
    <row r="144" spans="1:10" ht="15.75" customHeight="1" x14ac:dyDescent="0.25">
      <c r="A144" s="1"/>
      <c r="B144" s="252"/>
      <c r="C144" s="142" t="s">
        <v>69</v>
      </c>
      <c r="D144" s="92">
        <v>250</v>
      </c>
      <c r="E144" s="92">
        <v>250</v>
      </c>
      <c r="F144" s="100">
        <f>0</f>
        <v>0</v>
      </c>
      <c r="G144" s="100">
        <f>262.581</f>
        <v>262.58100000000002</v>
      </c>
      <c r="H144" s="100">
        <f t="shared" si="13"/>
        <v>-12.581000000000017</v>
      </c>
      <c r="I144" s="100">
        <f>306.976</f>
        <v>306.976</v>
      </c>
      <c r="J144" s="122"/>
    </row>
    <row r="145" spans="1:10" ht="18" customHeight="1" x14ac:dyDescent="0.25">
      <c r="A145" s="1"/>
      <c r="B145" s="252"/>
      <c r="C145" s="142" t="s">
        <v>70</v>
      </c>
      <c r="D145" s="145">
        <v>2000</v>
      </c>
      <c r="E145" s="145">
        <v>2000</v>
      </c>
      <c r="F145" s="141">
        <f>6.28865</f>
        <v>6.2886499999999996</v>
      </c>
      <c r="G145" s="141">
        <v>2000</v>
      </c>
      <c r="H145" s="141">
        <f t="shared" si="13"/>
        <v>0</v>
      </c>
      <c r="I145" s="141">
        <v>2000</v>
      </c>
      <c r="J145" s="242"/>
    </row>
    <row r="146" spans="1:10" ht="15.75" customHeight="1" x14ac:dyDescent="0.25">
      <c r="A146" s="1"/>
      <c r="B146" s="252"/>
      <c r="C146" s="144" t="s">
        <v>37</v>
      </c>
      <c r="D146" s="145"/>
      <c r="E146" s="145"/>
      <c r="F146" s="141">
        <v>0</v>
      </c>
      <c r="G146" s="141">
        <v>0</v>
      </c>
      <c r="H146" s="141">
        <f t="shared" si="13"/>
        <v>0</v>
      </c>
      <c r="I146" s="141"/>
      <c r="J146" s="122"/>
    </row>
    <row r="147" spans="1:10" ht="15.75" customHeight="1" x14ac:dyDescent="0.25">
      <c r="A147" s="1"/>
      <c r="B147" s="252"/>
      <c r="C147" s="144" t="s">
        <v>71</v>
      </c>
      <c r="D147" s="145">
        <v>195</v>
      </c>
      <c r="E147" s="145">
        <v>195</v>
      </c>
      <c r="F147" s="100">
        <f>0.5778</f>
        <v>0.57779999999999998</v>
      </c>
      <c r="G147" s="100">
        <f>28.25023</f>
        <v>28.250229999999998</v>
      </c>
      <c r="H147" s="141">
        <f t="shared" si="13"/>
        <v>166.74977000000001</v>
      </c>
      <c r="I147" s="100">
        <f>7.07005</f>
        <v>7.0700500000000002</v>
      </c>
      <c r="J147" s="122"/>
    </row>
    <row r="148" spans="1:10" ht="15" customHeight="1" x14ac:dyDescent="0.25">
      <c r="A148" s="1"/>
      <c r="B148" s="252"/>
      <c r="C148" s="144" t="s">
        <v>40</v>
      </c>
      <c r="D148" s="148"/>
      <c r="E148" s="145"/>
      <c r="F148" s="141">
        <f>7.805</f>
        <v>7.8049999999999997</v>
      </c>
      <c r="G148" s="141">
        <f>121.67963</f>
        <v>121.67963</v>
      </c>
      <c r="H148" s="141"/>
      <c r="I148" s="141">
        <f>83.1498</f>
        <v>83.149799999999999</v>
      </c>
      <c r="J148" s="122"/>
    </row>
    <row r="149" spans="1:10" ht="0" hidden="1" customHeight="1" x14ac:dyDescent="0.25">
      <c r="C149" s="150"/>
      <c r="D149" s="152"/>
      <c r="E149" s="153"/>
      <c r="F149" s="152"/>
      <c r="G149" s="152"/>
      <c r="H149" s="152"/>
      <c r="I149" s="158"/>
    </row>
    <row r="150" spans="1:10" ht="14.25" customHeight="1" x14ac:dyDescent="0.25">
      <c r="A150" s="159"/>
      <c r="B150" s="54"/>
      <c r="C150" s="160" t="s">
        <v>41</v>
      </c>
      <c r="D150" s="78">
        <f t="shared" ref="D150:E150" si="14">D128+D132+D133+D143+D144+D145+D146+D147+D148</f>
        <v>212994</v>
      </c>
      <c r="E150" s="78">
        <f t="shared" si="14"/>
        <v>203686</v>
      </c>
      <c r="F150" s="78">
        <f>F128+F132+F133+F143+F144+F145+F146+F147+F148</f>
        <v>1116.9685899999999</v>
      </c>
      <c r="G150" s="78">
        <f>G128+G132+G133+G143+G144+G145+G146+G147+G148</f>
        <v>168830.04379</v>
      </c>
      <c r="H150" s="78">
        <f>H128+H132+H133+H143+H144+H145+H146+H147+H148</f>
        <v>34977.635840000003</v>
      </c>
      <c r="I150" s="78">
        <f>I128+I132+I133+I143+I144+I145+I146+I147+I148</f>
        <v>164545.67007000005</v>
      </c>
      <c r="J150" s="162"/>
    </row>
    <row r="151" spans="1:10" ht="14.25" customHeight="1" x14ac:dyDescent="0.25">
      <c r="A151" s="159"/>
      <c r="B151" s="54"/>
      <c r="C151" s="163" t="s">
        <v>72</v>
      </c>
      <c r="D151" s="121"/>
      <c r="E151" s="121"/>
      <c r="F151" s="121"/>
      <c r="G151" s="121"/>
      <c r="H151" s="165"/>
      <c r="I151" s="165"/>
      <c r="J151" s="162"/>
    </row>
    <row r="152" spans="1:10" ht="14.25" customHeight="1" x14ac:dyDescent="0.25">
      <c r="A152" s="159"/>
      <c r="B152" s="54"/>
      <c r="C152" s="101" t="s">
        <v>129</v>
      </c>
      <c r="D152" s="121"/>
      <c r="E152" s="121"/>
      <c r="F152" s="121"/>
      <c r="G152" s="121"/>
      <c r="H152" s="165"/>
      <c r="I152" s="159"/>
      <c r="J152" s="278"/>
    </row>
    <row r="153" spans="1:10" ht="14.25" customHeight="1" x14ac:dyDescent="0.25">
      <c r="A153" s="159"/>
      <c r="B153" s="54"/>
      <c r="C153" s="163" t="s">
        <v>149</v>
      </c>
      <c r="D153" s="121"/>
      <c r="E153" s="121"/>
      <c r="F153" s="121"/>
      <c r="G153" s="121"/>
      <c r="H153" s="165"/>
      <c r="I153" s="159"/>
      <c r="J153" s="278"/>
    </row>
    <row r="154" spans="1:10" ht="14.25" customHeight="1" x14ac:dyDescent="0.25">
      <c r="A154" s="159"/>
      <c r="B154" s="54"/>
      <c r="C154" s="80" t="s">
        <v>148</v>
      </c>
      <c r="D154" s="121"/>
      <c r="E154" s="121"/>
      <c r="F154" s="121"/>
      <c r="G154" s="121"/>
      <c r="H154" s="165"/>
      <c r="I154" s="165"/>
      <c r="J154" s="278"/>
    </row>
    <row r="155" spans="1:10" ht="15.75" customHeight="1" x14ac:dyDescent="0.25">
      <c r="A155" s="159"/>
      <c r="B155" s="54"/>
      <c r="C155" s="163" t="s">
        <v>73</v>
      </c>
      <c r="D155" s="121"/>
      <c r="E155" s="121"/>
      <c r="F155" s="121"/>
      <c r="G155" s="121"/>
      <c r="H155" s="165"/>
      <c r="I155" s="165"/>
      <c r="J155" s="278"/>
    </row>
    <row r="156" spans="1:10" ht="15.75" customHeight="1" x14ac:dyDescent="0.25">
      <c r="A156" s="159"/>
      <c r="B156" s="54"/>
      <c r="C156" s="80" t="s">
        <v>130</v>
      </c>
      <c r="D156" s="121"/>
      <c r="E156" s="121"/>
      <c r="F156" s="121"/>
      <c r="G156" s="121"/>
      <c r="H156" s="165"/>
      <c r="I156" s="165"/>
      <c r="J156" s="278"/>
    </row>
    <row r="157" spans="1:10" ht="12" customHeight="1" x14ac:dyDescent="0.25">
      <c r="A157" s="1"/>
      <c r="B157" s="166"/>
      <c r="C157" s="109"/>
      <c r="D157" s="170"/>
      <c r="E157" s="170"/>
      <c r="F157" s="170"/>
      <c r="G157" s="170"/>
      <c r="H157" s="109"/>
      <c r="I157" s="109"/>
      <c r="J157" s="120"/>
    </row>
    <row r="158" spans="1:10" ht="12" customHeight="1" x14ac:dyDescent="0.25">
      <c r="A158" s="1"/>
      <c r="B158" s="1"/>
      <c r="C158" s="199"/>
      <c r="D158" s="172"/>
      <c r="E158" s="172"/>
      <c r="F158" s="172"/>
      <c r="G158" s="172"/>
      <c r="H158" s="1"/>
      <c r="I158" s="1"/>
      <c r="J158" s="1"/>
    </row>
    <row r="159" spans="1:10" x14ac:dyDescent="0.25">
      <c r="A159" s="1"/>
      <c r="B159" s="1"/>
      <c r="C159" s="199"/>
      <c r="D159" s="172"/>
      <c r="E159" s="172"/>
      <c r="F159" s="172"/>
      <c r="G159" s="172"/>
      <c r="H159" s="1"/>
      <c r="I159" s="1"/>
      <c r="J159" s="1"/>
    </row>
    <row r="160" spans="1:10" x14ac:dyDescent="0.25">
      <c r="A160" s="1"/>
      <c r="B160" s="1"/>
      <c r="C160" s="199"/>
      <c r="D160" s="172"/>
      <c r="E160" s="172"/>
      <c r="F160" s="172"/>
      <c r="G160" s="172"/>
      <c r="H160" s="1"/>
      <c r="I160" s="1"/>
      <c r="J160" s="1"/>
    </row>
    <row r="161" spans="1:10" x14ac:dyDescent="0.25">
      <c r="A161" s="1"/>
      <c r="B161" s="1"/>
      <c r="C161" s="199"/>
      <c r="D161" s="172"/>
      <c r="E161" s="172"/>
      <c r="F161" s="172"/>
      <c r="G161" s="172"/>
      <c r="H161" s="1"/>
      <c r="I161" s="1"/>
      <c r="J161" s="1"/>
    </row>
    <row r="162" spans="1:10" ht="21" customHeight="1" x14ac:dyDescent="0.25">
      <c r="A162" s="1" t="s">
        <v>119</v>
      </c>
      <c r="B162" s="2"/>
      <c r="C162" s="217" t="s">
        <v>74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7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119</v>
      </c>
      <c r="B164" s="138"/>
      <c r="C164" s="176"/>
      <c r="D164" s="176"/>
      <c r="E164" s="176"/>
      <c r="F164" s="176"/>
      <c r="G164" s="176"/>
      <c r="H164" s="176"/>
      <c r="I164" s="176"/>
      <c r="J164" s="178"/>
    </row>
    <row r="165" spans="1:10" ht="14.1" customHeight="1" x14ac:dyDescent="0.25">
      <c r="A165" s="1" t="s">
        <v>119</v>
      </c>
      <c r="B165" s="252"/>
      <c r="C165" s="151" t="s">
        <v>1</v>
      </c>
      <c r="D165" s="187"/>
      <c r="E165" s="279"/>
      <c r="F165" s="279"/>
      <c r="G165" s="279"/>
      <c r="H165" s="1"/>
      <c r="I165" s="1"/>
      <c r="J165" s="122"/>
    </row>
    <row r="166" spans="1:10" ht="14.1" customHeight="1" x14ac:dyDescent="0.25">
      <c r="A166" s="1"/>
      <c r="B166" s="252"/>
      <c r="C166" s="180" t="s">
        <v>6</v>
      </c>
      <c r="D166" s="192">
        <v>12735</v>
      </c>
      <c r="E166" s="279"/>
      <c r="F166" s="279"/>
      <c r="G166" s="279"/>
      <c r="H166" s="1"/>
      <c r="I166" s="1"/>
      <c r="J166" s="122"/>
    </row>
    <row r="167" spans="1:10" ht="14.1" customHeight="1" x14ac:dyDescent="0.25">
      <c r="A167" s="1"/>
      <c r="B167" s="252"/>
      <c r="C167" s="180" t="s">
        <v>9</v>
      </c>
      <c r="D167" s="192">
        <v>11325</v>
      </c>
      <c r="E167" s="279"/>
      <c r="F167" s="279"/>
      <c r="G167" s="233"/>
      <c r="H167" s="1"/>
      <c r="I167" s="1"/>
      <c r="J167" s="122"/>
    </row>
    <row r="168" spans="1:10" ht="14.1" customHeight="1" x14ac:dyDescent="0.25">
      <c r="A168" s="1"/>
      <c r="B168" s="252"/>
      <c r="C168" s="180" t="s">
        <v>75</v>
      </c>
      <c r="D168" s="192">
        <v>940</v>
      </c>
      <c r="E168" s="279"/>
      <c r="F168" s="279"/>
      <c r="G168" s="279"/>
      <c r="H168" s="1"/>
      <c r="I168" s="1"/>
      <c r="J168" s="122"/>
    </row>
    <row r="169" spans="1:10" ht="14.1" customHeight="1" x14ac:dyDescent="0.25">
      <c r="A169" s="1"/>
      <c r="B169" s="252"/>
      <c r="C169" s="180" t="s">
        <v>50</v>
      </c>
      <c r="D169" s="192">
        <v>25000</v>
      </c>
      <c r="E169" s="279"/>
      <c r="F169" s="279"/>
      <c r="G169" s="279"/>
      <c r="H169" s="1"/>
      <c r="I169" s="1"/>
      <c r="J169" s="122"/>
    </row>
    <row r="170" spans="1:10" ht="14.1" customHeight="1" x14ac:dyDescent="0.25">
      <c r="A170" s="1"/>
      <c r="B170" s="252"/>
      <c r="C170" s="1"/>
      <c r="D170" s="49"/>
      <c r="E170" s="279"/>
      <c r="F170" s="279"/>
      <c r="G170" s="279"/>
      <c r="H170" s="1"/>
      <c r="I170" s="1"/>
      <c r="J170" s="122"/>
    </row>
    <row r="171" spans="1:10" ht="3.75" customHeight="1" x14ac:dyDescent="0.25">
      <c r="A171" s="1"/>
      <c r="B171" s="239"/>
      <c r="C171" s="161"/>
      <c r="D171" s="161"/>
      <c r="E171" s="265"/>
      <c r="F171" s="265"/>
      <c r="G171" s="265"/>
      <c r="H171" s="231"/>
      <c r="I171" s="231"/>
      <c r="J171" s="243"/>
    </row>
    <row r="172" spans="1:10" ht="24.75" customHeight="1" x14ac:dyDescent="0.25">
      <c r="A172" s="1"/>
      <c r="B172" s="252"/>
      <c r="C172" s="18" t="s">
        <v>15</v>
      </c>
      <c r="D172" s="181"/>
      <c r="E172" s="172"/>
      <c r="F172" s="172"/>
      <c r="G172" s="172"/>
      <c r="H172" s="1"/>
      <c r="I172" s="1"/>
      <c r="J172" s="122"/>
    </row>
    <row r="173" spans="1:10" ht="15.75" customHeight="1" x14ac:dyDescent="0.25">
      <c r="A173" s="1"/>
      <c r="B173" s="200"/>
      <c r="C173" s="222"/>
      <c r="D173" s="222"/>
      <c r="E173" s="222"/>
      <c r="F173" s="222"/>
      <c r="G173" s="222"/>
      <c r="H173" s="222"/>
      <c r="I173" s="222"/>
      <c r="J173" s="13"/>
    </row>
    <row r="174" spans="1:10" ht="61.5" customHeight="1" x14ac:dyDescent="0.25">
      <c r="A174" s="159"/>
      <c r="B174" s="54"/>
      <c r="C174" s="15" t="s">
        <v>16</v>
      </c>
      <c r="D174" s="177" t="s">
        <v>2</v>
      </c>
      <c r="E174" s="15" t="s">
        <v>142</v>
      </c>
      <c r="F174" s="15" t="s">
        <v>143</v>
      </c>
      <c r="G174" s="56" t="s">
        <v>144</v>
      </c>
      <c r="H174" s="15" t="s">
        <v>145</v>
      </c>
      <c r="I174" s="159"/>
      <c r="J174" s="278"/>
    </row>
    <row r="175" spans="1:10" ht="14.1" customHeight="1" x14ac:dyDescent="0.25">
      <c r="A175" s="1"/>
      <c r="B175" s="252"/>
      <c r="C175" s="143" t="s">
        <v>76</v>
      </c>
      <c r="D175" s="96">
        <v>4988</v>
      </c>
      <c r="E175" s="274">
        <f>19.80581</f>
        <v>19.805810000000001</v>
      </c>
      <c r="F175" s="274">
        <f>1589.5571</f>
        <v>1589.5571</v>
      </c>
      <c r="G175" s="45">
        <f>D175-F175-F176</f>
        <v>1653.9525900000001</v>
      </c>
      <c r="H175" s="274">
        <f>1486.81899</f>
        <v>1486.81899</v>
      </c>
      <c r="I175" s="1"/>
      <c r="J175" s="122"/>
    </row>
    <row r="176" spans="1:10" ht="14.1" customHeight="1" x14ac:dyDescent="0.25">
      <c r="A176" s="1"/>
      <c r="B176" s="252"/>
      <c r="C176" s="139" t="s">
        <v>54</v>
      </c>
      <c r="D176" s="183"/>
      <c r="E176" s="154">
        <f>0</f>
        <v>0</v>
      </c>
      <c r="F176" s="154">
        <f>1744.49031</f>
        <v>1744.4903099999999</v>
      </c>
      <c r="G176" s="215"/>
      <c r="H176" s="154">
        <f>1664.76991</f>
        <v>1664.76991</v>
      </c>
      <c r="I176" s="1"/>
      <c r="J176" s="122"/>
    </row>
    <row r="177" spans="1:10" ht="15.6" customHeight="1" x14ac:dyDescent="0.25">
      <c r="A177" s="1"/>
      <c r="B177" s="252"/>
      <c r="C177" s="171" t="s">
        <v>77</v>
      </c>
      <c r="D177" s="100">
        <v>200</v>
      </c>
      <c r="E177" s="174">
        <f>0</f>
        <v>0</v>
      </c>
      <c r="F177" s="174">
        <f>74.78746</f>
        <v>74.787459999999996</v>
      </c>
      <c r="G177" s="174">
        <f>D177-F177</f>
        <v>125.21254</v>
      </c>
      <c r="H177" s="174">
        <f>50.8172</f>
        <v>50.8172</v>
      </c>
      <c r="I177" s="1"/>
      <c r="J177" s="122"/>
    </row>
    <row r="178" spans="1:10" ht="14.1" customHeight="1" x14ac:dyDescent="0.25">
      <c r="A178" s="70"/>
      <c r="B178" s="81"/>
      <c r="C178" s="182" t="s">
        <v>78</v>
      </c>
      <c r="D178" s="183">
        <v>7481</v>
      </c>
      <c r="E178" s="183">
        <f>E179+E180+E181</f>
        <v>6.0597899999999996</v>
      </c>
      <c r="F178" s="183">
        <f>F179+F180+F181</f>
        <v>8097.3039600000002</v>
      </c>
      <c r="G178" s="183">
        <f>D178-F178</f>
        <v>-616.30396000000019</v>
      </c>
      <c r="H178" s="183">
        <f>H179+H180+H181</f>
        <v>7762.6068599999999</v>
      </c>
      <c r="I178" s="70"/>
      <c r="J178" s="118"/>
    </row>
    <row r="179" spans="1:10" ht="14.1" customHeight="1" x14ac:dyDescent="0.25">
      <c r="A179" s="199"/>
      <c r="B179" s="184"/>
      <c r="C179" s="185" t="s">
        <v>79</v>
      </c>
      <c r="D179" s="129"/>
      <c r="E179" s="129">
        <f>1.38073</f>
        <v>1.38073</v>
      </c>
      <c r="F179" s="129">
        <f>4172.73825</f>
        <v>4172.7382500000003</v>
      </c>
      <c r="G179" s="129"/>
      <c r="H179" s="129">
        <f>3972.78286</f>
        <v>3972.7828599999998</v>
      </c>
      <c r="I179" s="188"/>
      <c r="J179" s="131"/>
    </row>
    <row r="180" spans="1:10" ht="14.1" customHeight="1" x14ac:dyDescent="0.25">
      <c r="A180" s="199"/>
      <c r="B180" s="184"/>
      <c r="C180" s="185" t="s">
        <v>80</v>
      </c>
      <c r="D180" s="129"/>
      <c r="E180" s="129">
        <f>2.9027</f>
        <v>2.9026999999999998</v>
      </c>
      <c r="F180" s="129">
        <f>2497.96698</f>
        <v>2497.9669800000001</v>
      </c>
      <c r="G180" s="129"/>
      <c r="H180" s="129">
        <f>2432.36222</f>
        <v>2432.36222</v>
      </c>
      <c r="I180" s="188"/>
      <c r="J180" s="189"/>
    </row>
    <row r="181" spans="1:10" ht="14.1" customHeight="1" x14ac:dyDescent="0.25">
      <c r="A181" s="199"/>
      <c r="B181" s="184"/>
      <c r="C181" s="191" t="s">
        <v>81</v>
      </c>
      <c r="D181" s="194"/>
      <c r="E181" s="194">
        <f>1.77636</f>
        <v>1.7763599999999999</v>
      </c>
      <c r="F181" s="194">
        <f>1426.59873</f>
        <v>1426.5987299999999</v>
      </c>
      <c r="G181" s="194"/>
      <c r="H181" s="194">
        <f>1357.46178</f>
        <v>1357.4617800000001</v>
      </c>
      <c r="I181" s="188"/>
      <c r="J181" s="189"/>
    </row>
    <row r="182" spans="1:10" ht="14.1" customHeight="1" x14ac:dyDescent="0.25">
      <c r="A182" s="1"/>
      <c r="B182" s="252"/>
      <c r="C182" s="75" t="s">
        <v>82</v>
      </c>
      <c r="D182" s="141">
        <v>66</v>
      </c>
      <c r="E182" s="141">
        <f>0</f>
        <v>0</v>
      </c>
      <c r="F182" s="141">
        <f>0</f>
        <v>0</v>
      </c>
      <c r="G182" s="141">
        <f>D182-F182</f>
        <v>66</v>
      </c>
      <c r="H182" s="141">
        <f>0</f>
        <v>0</v>
      </c>
      <c r="I182" s="181"/>
      <c r="J182" s="242"/>
    </row>
    <row r="183" spans="1:10" ht="16.5" customHeight="1" x14ac:dyDescent="0.25">
      <c r="A183" s="1"/>
      <c r="B183" s="252"/>
      <c r="C183" s="95" t="s">
        <v>83</v>
      </c>
      <c r="D183" s="195"/>
      <c r="E183" s="96"/>
      <c r="F183" s="96"/>
      <c r="G183" s="96">
        <v>7.4999999999999997E-3</v>
      </c>
      <c r="H183" s="96"/>
      <c r="I183" s="181"/>
      <c r="J183" s="242"/>
    </row>
    <row r="184" spans="1:10" ht="19.350000000000001" customHeight="1" x14ac:dyDescent="0.25">
      <c r="A184" s="159"/>
      <c r="B184" s="54"/>
      <c r="C184" s="76" t="s">
        <v>41</v>
      </c>
      <c r="D184" s="196">
        <f>D175+D177+D178+D182</f>
        <v>12735</v>
      </c>
      <c r="E184" s="196">
        <f>E175+E176+E177+E178+E182+E183</f>
        <v>25.865600000000001</v>
      </c>
      <c r="F184" s="196">
        <f>F175+F176+F177+F178+F182+F183</f>
        <v>11506.13883</v>
      </c>
      <c r="G184" s="196">
        <f>D184-F184</f>
        <v>1228.8611700000001</v>
      </c>
      <c r="H184" s="196">
        <f>H175+H176+H177+H178+H182+H183</f>
        <v>10965.01296</v>
      </c>
      <c r="I184" s="165"/>
      <c r="J184" s="162"/>
    </row>
    <row r="185" spans="1:10" ht="42" customHeight="1" x14ac:dyDescent="0.25">
      <c r="A185" s="1"/>
      <c r="B185" s="200"/>
      <c r="C185" s="225" t="s">
        <v>131</v>
      </c>
      <c r="D185" s="225"/>
      <c r="E185" s="225"/>
      <c r="F185" s="225"/>
      <c r="G185" s="225"/>
      <c r="H185" s="222"/>
      <c r="I185" s="222"/>
      <c r="J185" s="13"/>
    </row>
    <row r="186" spans="1:10" ht="12" customHeight="1" x14ac:dyDescent="0.25">
      <c r="A186" s="159" t="s">
        <v>119</v>
      </c>
      <c r="B186" s="197"/>
      <c r="C186" s="109"/>
      <c r="D186" s="109"/>
      <c r="E186" s="109"/>
      <c r="F186" s="109"/>
      <c r="G186" s="109"/>
      <c r="H186" s="198"/>
      <c r="I186" s="202"/>
      <c r="J186" s="203"/>
    </row>
    <row r="187" spans="1:10" ht="10.5" customHeight="1" x14ac:dyDescent="0.25">
      <c r="A187" s="152"/>
      <c r="B187" s="1"/>
      <c r="C187" s="199"/>
      <c r="D187" s="172"/>
      <c r="E187" s="172"/>
      <c r="F187" s="172"/>
      <c r="G187" s="172"/>
      <c r="H187" s="1"/>
      <c r="I187" s="1"/>
      <c r="J187" s="1"/>
    </row>
    <row r="188" spans="1:10" ht="10.5" customHeight="1" x14ac:dyDescent="0.25">
      <c r="A188" s="152" t="s">
        <v>119</v>
      </c>
      <c r="B188" s="1"/>
      <c r="C188" s="199"/>
      <c r="D188" s="172"/>
      <c r="E188" s="172"/>
      <c r="F188" s="172"/>
      <c r="G188" s="172"/>
      <c r="H188" s="1"/>
      <c r="I188" s="1"/>
      <c r="J188" s="1"/>
    </row>
    <row r="189" spans="1:10" ht="21.75" customHeight="1" x14ac:dyDescent="0.35">
      <c r="A189" s="152"/>
      <c r="B189" s="1"/>
      <c r="C189" s="213" t="s">
        <v>84</v>
      </c>
      <c r="D189" s="172"/>
      <c r="E189" s="172"/>
      <c r="F189" s="172"/>
      <c r="G189" s="172"/>
      <c r="H189" s="1"/>
      <c r="I189" s="1"/>
      <c r="J189" s="1"/>
    </row>
    <row r="190" spans="1:10" ht="21.75" customHeight="1" x14ac:dyDescent="0.35">
      <c r="A190" s="152" t="s">
        <v>119</v>
      </c>
      <c r="B190" s="1"/>
      <c r="C190" s="213"/>
      <c r="D190" s="172"/>
      <c r="E190" s="172"/>
      <c r="F190" s="172"/>
      <c r="G190" s="172"/>
      <c r="H190" s="1"/>
      <c r="I190" s="1"/>
      <c r="J190" s="1"/>
    </row>
    <row r="191" spans="1:10" ht="12" customHeight="1" x14ac:dyDescent="0.25">
      <c r="A191" s="152"/>
      <c r="B191" s="140"/>
      <c r="C191" s="224"/>
      <c r="D191" s="235"/>
      <c r="E191" s="235"/>
      <c r="F191" s="235"/>
      <c r="G191" s="235"/>
      <c r="H191" s="156"/>
      <c r="I191" s="156"/>
      <c r="J191" s="164"/>
    </row>
    <row r="192" spans="1:10" ht="15" customHeight="1" x14ac:dyDescent="0.25">
      <c r="A192" s="152"/>
      <c r="B192" s="252"/>
      <c r="C192" s="151" t="s">
        <v>1</v>
      </c>
      <c r="D192" s="187"/>
      <c r="E192" s="152"/>
      <c r="F192" s="152"/>
      <c r="G192" s="172"/>
      <c r="H192" s="1"/>
      <c r="I192" s="1"/>
      <c r="J192" s="122"/>
    </row>
    <row r="193" spans="1:10" ht="15" customHeight="1" x14ac:dyDescent="0.25">
      <c r="A193" s="152"/>
      <c r="B193" s="252"/>
      <c r="C193" s="257" t="s">
        <v>85</v>
      </c>
      <c r="D193" s="268">
        <v>43981</v>
      </c>
      <c r="E193" s="152"/>
      <c r="F193" s="152"/>
      <c r="G193" s="172"/>
      <c r="H193" s="1"/>
      <c r="I193" s="1"/>
      <c r="J193" s="122"/>
    </row>
    <row r="194" spans="1:10" ht="15" customHeight="1" x14ac:dyDescent="0.25">
      <c r="A194" s="152"/>
      <c r="B194" s="252"/>
      <c r="C194" s="246" t="s">
        <v>86</v>
      </c>
      <c r="D194" s="46">
        <v>15120</v>
      </c>
      <c r="E194" s="152"/>
      <c r="F194" s="152"/>
      <c r="G194" s="172"/>
      <c r="H194" s="1"/>
      <c r="I194" s="1"/>
      <c r="J194" s="122"/>
    </row>
    <row r="195" spans="1:10" ht="18" customHeight="1" x14ac:dyDescent="0.25">
      <c r="A195" s="152"/>
      <c r="B195" s="252"/>
      <c r="C195" s="246" t="s">
        <v>87</v>
      </c>
      <c r="D195" s="46">
        <v>7678</v>
      </c>
      <c r="E195" s="152"/>
      <c r="F195" s="152"/>
      <c r="G195" s="172"/>
      <c r="H195" s="1"/>
      <c r="I195" s="1"/>
      <c r="J195" s="122"/>
    </row>
    <row r="196" spans="1:10" ht="11.25" customHeight="1" x14ac:dyDescent="0.25">
      <c r="A196" s="152"/>
      <c r="B196" s="252"/>
      <c r="C196" s="57" t="s">
        <v>50</v>
      </c>
      <c r="D196" s="35">
        <v>66779</v>
      </c>
      <c r="E196" s="152"/>
      <c r="F196" s="152"/>
      <c r="G196" s="172"/>
      <c r="H196" s="1"/>
      <c r="I196" s="1"/>
      <c r="J196" s="122"/>
    </row>
    <row r="197" spans="1:10" ht="12" customHeight="1" x14ac:dyDescent="0.25">
      <c r="A197" s="1"/>
      <c r="B197" s="252"/>
      <c r="C197" s="101" t="s">
        <v>132</v>
      </c>
      <c r="D197" s="172"/>
      <c r="E197" s="172"/>
      <c r="F197" s="172"/>
      <c r="G197" s="172"/>
      <c r="H197" s="1"/>
      <c r="I197" s="1"/>
      <c r="J197" s="122"/>
    </row>
    <row r="198" spans="1:10" ht="10.5" customHeight="1" x14ac:dyDescent="0.25">
      <c r="A198" s="1"/>
      <c r="B198" s="252"/>
      <c r="C198" s="101" t="s">
        <v>133</v>
      </c>
      <c r="D198" s="172"/>
      <c r="E198" s="172"/>
      <c r="F198" s="172"/>
      <c r="G198" s="172"/>
      <c r="H198" s="1"/>
      <c r="I198" s="1"/>
      <c r="J198" s="122"/>
    </row>
    <row r="199" spans="1:10" ht="12" customHeight="1" x14ac:dyDescent="0.25">
      <c r="A199" s="1"/>
      <c r="B199" s="252"/>
      <c r="C199" s="101" t="s">
        <v>134</v>
      </c>
      <c r="D199" s="172"/>
      <c r="E199" s="172"/>
      <c r="F199" s="172"/>
      <c r="G199" s="172"/>
      <c r="H199" s="1"/>
      <c r="I199" s="1"/>
      <c r="J199" s="122"/>
    </row>
    <row r="200" spans="1:10" ht="12" customHeight="1" x14ac:dyDescent="0.25">
      <c r="A200" s="1"/>
      <c r="B200" s="239"/>
      <c r="C200" s="265"/>
      <c r="D200" s="161"/>
      <c r="E200" s="161"/>
      <c r="F200" s="265"/>
      <c r="G200" s="265"/>
      <c r="H200" s="265"/>
      <c r="I200" s="231"/>
      <c r="J200" s="243"/>
    </row>
    <row r="201" spans="1:10" ht="23.25" customHeight="1" x14ac:dyDescent="0.25">
      <c r="A201" s="1"/>
      <c r="B201" s="252"/>
      <c r="C201" s="18" t="s">
        <v>15</v>
      </c>
      <c r="D201" s="172"/>
      <c r="E201" s="172"/>
      <c r="F201" s="172"/>
      <c r="G201" s="1"/>
      <c r="H201" s="1"/>
      <c r="I201" s="1"/>
      <c r="J201" s="122"/>
    </row>
    <row r="202" spans="1:10" ht="15" customHeight="1" x14ac:dyDescent="0.25">
      <c r="A202" s="1"/>
      <c r="B202" s="252"/>
      <c r="C202" s="101"/>
      <c r="D202" s="172"/>
      <c r="E202" s="172"/>
      <c r="F202" s="172"/>
      <c r="G202" s="172"/>
      <c r="H202" s="1"/>
      <c r="I202" s="1"/>
      <c r="J202" s="122"/>
    </row>
    <row r="203" spans="1:10" ht="48.75" customHeight="1" x14ac:dyDescent="0.25">
      <c r="A203" s="1"/>
      <c r="B203" s="252"/>
      <c r="C203" s="68" t="s">
        <v>16</v>
      </c>
      <c r="D203" s="79" t="s">
        <v>2</v>
      </c>
      <c r="E203" s="68" t="s">
        <v>142</v>
      </c>
      <c r="F203" s="68" t="s">
        <v>143</v>
      </c>
      <c r="G203" s="68" t="s">
        <v>144</v>
      </c>
      <c r="H203" s="68" t="s">
        <v>145</v>
      </c>
      <c r="I203" s="1"/>
      <c r="J203" s="122"/>
    </row>
    <row r="204" spans="1:10" ht="15" customHeight="1" x14ac:dyDescent="0.25">
      <c r="A204" s="1"/>
      <c r="B204" s="252"/>
      <c r="C204" s="90" t="s">
        <v>4</v>
      </c>
      <c r="D204" s="124">
        <v>43839</v>
      </c>
      <c r="E204" s="124">
        <f>306.64193</f>
        <v>306.64193</v>
      </c>
      <c r="F204" s="124">
        <f>41070.84563</f>
        <v>41070.845630000003</v>
      </c>
      <c r="G204" s="124">
        <f>D204-F204</f>
        <v>2768.1543699999966</v>
      </c>
      <c r="H204" s="124">
        <f>36713.02562</f>
        <v>36713.02562</v>
      </c>
      <c r="I204" s="246"/>
      <c r="J204" s="122"/>
    </row>
    <row r="205" spans="1:10" ht="15" customHeight="1" x14ac:dyDescent="0.25">
      <c r="A205" s="1"/>
      <c r="B205" s="252"/>
      <c r="C205" s="90" t="s">
        <v>68</v>
      </c>
      <c r="D205" s="124">
        <v>100</v>
      </c>
      <c r="E205" s="124">
        <f>0.2475</f>
        <v>0.2475</v>
      </c>
      <c r="F205" s="124">
        <f>65.93523</f>
        <v>65.935230000000004</v>
      </c>
      <c r="G205" s="124">
        <f>D205-F205</f>
        <v>34.064769999999996</v>
      </c>
      <c r="H205" s="124">
        <f>58.6368</f>
        <v>58.636800000000001</v>
      </c>
      <c r="I205" s="246"/>
      <c r="J205" s="122"/>
    </row>
    <row r="206" spans="1:10" ht="15.75" customHeight="1" x14ac:dyDescent="0.25">
      <c r="A206" s="1"/>
      <c r="B206" s="252"/>
      <c r="C206" s="146" t="s">
        <v>82</v>
      </c>
      <c r="D206" s="168">
        <v>42</v>
      </c>
      <c r="E206" s="168"/>
      <c r="F206" s="168"/>
      <c r="G206" s="168">
        <f>D206-F206</f>
        <v>42</v>
      </c>
      <c r="H206" s="168"/>
      <c r="I206" s="246"/>
      <c r="J206" s="122"/>
    </row>
    <row r="207" spans="1:10" ht="16.5" customHeight="1" x14ac:dyDescent="0.25">
      <c r="A207" s="1"/>
      <c r="B207" s="252"/>
      <c r="C207" s="179" t="s">
        <v>88</v>
      </c>
      <c r="D207" s="190">
        <f>SUM(D204:D206)</f>
        <v>43981</v>
      </c>
      <c r="E207" s="190">
        <f>SUM(E204:E206)</f>
        <v>306.88943</v>
      </c>
      <c r="F207" s="190">
        <f>SUM(F204:F206)</f>
        <v>41136.780860000006</v>
      </c>
      <c r="G207" s="190">
        <f>D207-F207</f>
        <v>2844.2191399999938</v>
      </c>
      <c r="H207" s="190">
        <f>SUM(H204:H206)</f>
        <v>36771.662420000001</v>
      </c>
      <c r="I207" s="246"/>
      <c r="J207" s="122"/>
    </row>
    <row r="208" spans="1:10" ht="17.100000000000001" customHeight="1" x14ac:dyDescent="0.25">
      <c r="A208" s="1"/>
      <c r="B208" s="166"/>
      <c r="C208" s="201" t="s">
        <v>89</v>
      </c>
      <c r="D208" s="109"/>
      <c r="E208" s="109"/>
      <c r="F208" s="212"/>
      <c r="G208" s="212"/>
      <c r="H208" s="212"/>
      <c r="I208" s="212"/>
      <c r="J208" s="214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119</v>
      </c>
      <c r="B242" s="1"/>
      <c r="C242" s="1"/>
      <c r="D242" s="1"/>
      <c r="E242" s="1"/>
      <c r="F242" s="1"/>
      <c r="G242" s="1"/>
      <c r="H242" s="1"/>
      <c r="I242" s="1"/>
      <c r="J242" s="216"/>
    </row>
    <row r="243" spans="1:10" ht="21.75" customHeight="1" x14ac:dyDescent="0.35">
      <c r="A243" s="152"/>
      <c r="B243" s="1"/>
      <c r="C243" s="213" t="s">
        <v>137</v>
      </c>
      <c r="D243" s="172"/>
      <c r="E243" s="172"/>
      <c r="F243" s="172"/>
      <c r="G243" s="172"/>
      <c r="H243" s="1"/>
      <c r="I243" s="1"/>
      <c r="J243" s="1"/>
    </row>
    <row r="244" spans="1:10" ht="21.75" customHeight="1" x14ac:dyDescent="0.35">
      <c r="A244" s="152" t="s">
        <v>119</v>
      </c>
      <c r="B244" s="1"/>
      <c r="C244" s="213"/>
      <c r="D244" s="172"/>
      <c r="E244" s="172"/>
      <c r="F244" s="172"/>
      <c r="G244" s="172"/>
      <c r="H244" s="1"/>
      <c r="I244" s="1"/>
      <c r="J244" s="1"/>
    </row>
    <row r="245" spans="1:10" ht="12" customHeight="1" x14ac:dyDescent="0.25">
      <c r="A245" s="152"/>
      <c r="B245" s="140"/>
      <c r="C245" s="224"/>
      <c r="D245" s="235"/>
      <c r="E245" s="235"/>
      <c r="F245" s="235"/>
      <c r="G245" s="235"/>
      <c r="H245" s="156"/>
      <c r="I245" s="156"/>
      <c r="J245" s="164"/>
    </row>
    <row r="246" spans="1:10" ht="23.25" customHeight="1" x14ac:dyDescent="0.25">
      <c r="A246" s="1"/>
      <c r="B246" s="252"/>
      <c r="C246" s="18" t="s">
        <v>15</v>
      </c>
      <c r="D246" s="172"/>
      <c r="E246" s="172"/>
      <c r="F246" s="172"/>
      <c r="G246" s="1"/>
      <c r="H246" s="1"/>
      <c r="I246" s="1"/>
      <c r="J246" s="122"/>
    </row>
    <row r="247" spans="1:10" ht="15" customHeight="1" x14ac:dyDescent="0.25">
      <c r="A247" s="1"/>
      <c r="B247" s="252"/>
      <c r="C247" s="101"/>
      <c r="D247" s="172"/>
      <c r="E247" s="172"/>
      <c r="F247" s="172"/>
      <c r="G247" s="172"/>
      <c r="H247" s="1"/>
      <c r="I247" s="1"/>
      <c r="J247" s="122"/>
    </row>
    <row r="248" spans="1:10" ht="48.75" customHeight="1" x14ac:dyDescent="0.25">
      <c r="A248" s="1"/>
      <c r="B248" s="252"/>
      <c r="C248" s="68" t="s">
        <v>16</v>
      </c>
      <c r="D248" s="79" t="s">
        <v>2</v>
      </c>
      <c r="E248" s="68" t="s">
        <v>142</v>
      </c>
      <c r="F248" s="68" t="s">
        <v>143</v>
      </c>
      <c r="G248" s="68" t="s">
        <v>144</v>
      </c>
      <c r="H248" s="68" t="s">
        <v>145</v>
      </c>
      <c r="I248" s="1"/>
      <c r="J248" s="122"/>
    </row>
    <row r="249" spans="1:10" ht="15" customHeight="1" x14ac:dyDescent="0.25">
      <c r="A249" s="1"/>
      <c r="B249" s="252"/>
      <c r="C249" s="90" t="s">
        <v>8</v>
      </c>
      <c r="D249" s="124"/>
      <c r="E249" s="77">
        <f>2.31288</f>
        <v>2.3128799999999998</v>
      </c>
      <c r="F249" s="77">
        <f>3558.06716</f>
        <v>3558.0671600000001</v>
      </c>
      <c r="G249" s="77"/>
      <c r="H249" s="77">
        <f>2832.62448</f>
        <v>2832.6244799999999</v>
      </c>
      <c r="I249" s="246"/>
      <c r="J249" s="122"/>
    </row>
    <row r="250" spans="1:10" ht="15" customHeight="1" x14ac:dyDescent="0.25">
      <c r="A250" s="1"/>
      <c r="B250" s="252"/>
      <c r="C250" s="90" t="s">
        <v>11</v>
      </c>
      <c r="D250" s="124"/>
      <c r="E250" s="77">
        <f>65.30884</f>
        <v>65.308840000000004</v>
      </c>
      <c r="F250" s="77">
        <f>5239.33438</f>
        <v>5239.3343800000002</v>
      </c>
      <c r="G250" s="77"/>
      <c r="H250" s="77">
        <f>4789.33575</f>
        <v>4789.3357500000002</v>
      </c>
      <c r="I250" s="246"/>
      <c r="J250" s="122"/>
    </row>
    <row r="251" spans="1:10" ht="15.75" customHeight="1" x14ac:dyDescent="0.25">
      <c r="A251" s="1"/>
      <c r="B251" s="252"/>
      <c r="C251" s="146" t="s">
        <v>68</v>
      </c>
      <c r="D251" s="168"/>
      <c r="E251" s="124">
        <f>4.4973</f>
        <v>4.4973000000000001</v>
      </c>
      <c r="F251" s="124">
        <f>619.43481</f>
        <v>619.43480999999997</v>
      </c>
      <c r="G251" s="168"/>
      <c r="H251" s="124">
        <f>627.48523</f>
        <v>627.48523</v>
      </c>
      <c r="I251" s="246"/>
      <c r="J251" s="122"/>
    </row>
    <row r="252" spans="1:10" ht="16.5" customHeight="1" x14ac:dyDescent="0.25">
      <c r="A252" s="1"/>
      <c r="B252" s="252"/>
      <c r="C252" s="179" t="s">
        <v>88</v>
      </c>
      <c r="D252" s="190">
        <v>10454</v>
      </c>
      <c r="E252" s="190">
        <f>SUM(E249:E251)</f>
        <v>72.119020000000006</v>
      </c>
      <c r="F252" s="190">
        <f>SUM(F249:F251)</f>
        <v>9416.8363500000014</v>
      </c>
      <c r="G252" s="190">
        <f>D252-F252</f>
        <v>1037.1636499999986</v>
      </c>
      <c r="H252" s="190">
        <f>SUM(H249:H251)</f>
        <v>8249.4454600000008</v>
      </c>
      <c r="I252" s="246"/>
      <c r="J252" s="122"/>
    </row>
    <row r="253" spans="1:10" ht="17.100000000000001" customHeight="1" x14ac:dyDescent="0.25">
      <c r="A253" s="1"/>
      <c r="B253" s="166"/>
      <c r="C253" s="201"/>
      <c r="D253" s="109"/>
      <c r="E253" s="109"/>
      <c r="F253" s="212"/>
      <c r="G253" s="212"/>
      <c r="H253" s="212"/>
      <c r="I253" s="212"/>
      <c r="J253" s="214"/>
    </row>
    <row r="254" spans="1:10" ht="0" hidden="1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7.100000000000001" customHeight="1" x14ac:dyDescent="0.25">
      <c r="A287" s="1" t="s">
        <v>119</v>
      </c>
      <c r="B287" s="1"/>
      <c r="C287" s="1"/>
      <c r="D287" s="1"/>
      <c r="E287" s="1"/>
      <c r="F287" s="1"/>
      <c r="G287" s="1"/>
      <c r="H287" s="1"/>
      <c r="I287" s="1"/>
      <c r="J287" s="216"/>
    </row>
    <row r="288" spans="1:10" ht="21.75" customHeight="1" x14ac:dyDescent="0.35">
      <c r="A288" s="152"/>
      <c r="B288" s="1"/>
      <c r="C288" s="213" t="s">
        <v>138</v>
      </c>
      <c r="D288" s="172"/>
      <c r="E288" s="172"/>
      <c r="F288" s="172"/>
      <c r="G288" s="172"/>
      <c r="H288" s="1"/>
      <c r="I288" s="1"/>
      <c r="J288" s="1"/>
    </row>
    <row r="289" spans="1:10" ht="21.75" customHeight="1" x14ac:dyDescent="0.35">
      <c r="A289" s="152" t="s">
        <v>119</v>
      </c>
      <c r="B289" s="1"/>
      <c r="C289" s="213"/>
      <c r="D289" s="172"/>
      <c r="E289" s="172"/>
      <c r="F289" s="172"/>
      <c r="G289" s="172"/>
      <c r="H289" s="1"/>
      <c r="I289" s="1"/>
      <c r="J289" s="1"/>
    </row>
    <row r="290" spans="1:10" ht="12" customHeight="1" x14ac:dyDescent="0.25">
      <c r="A290" s="152"/>
      <c r="B290" s="140"/>
      <c r="C290" s="224"/>
      <c r="D290" s="235"/>
      <c r="E290" s="235"/>
      <c r="F290" s="235"/>
      <c r="G290" s="235"/>
      <c r="H290" s="156"/>
      <c r="I290" s="156"/>
      <c r="J290" s="164"/>
    </row>
    <row r="291" spans="1:10" ht="23.25" customHeight="1" x14ac:dyDescent="0.25">
      <c r="A291" s="1"/>
      <c r="B291" s="252"/>
      <c r="C291" s="18" t="s">
        <v>15</v>
      </c>
      <c r="D291" s="172"/>
      <c r="E291" s="172"/>
      <c r="F291" s="172"/>
      <c r="G291" s="1"/>
      <c r="H291" s="1"/>
      <c r="I291" s="1"/>
      <c r="J291" s="122"/>
    </row>
    <row r="292" spans="1:10" ht="15" customHeight="1" x14ac:dyDescent="0.25">
      <c r="A292" s="1"/>
      <c r="B292" s="252"/>
      <c r="C292" s="101"/>
      <c r="D292" s="172"/>
      <c r="E292" s="172"/>
      <c r="F292" s="172"/>
      <c r="G292" s="172"/>
      <c r="H292" s="1"/>
      <c r="I292" s="1"/>
      <c r="J292" s="122"/>
    </row>
    <row r="293" spans="1:10" ht="48.75" customHeight="1" x14ac:dyDescent="0.25">
      <c r="A293" s="1"/>
      <c r="B293" s="252"/>
      <c r="C293" s="68" t="s">
        <v>16</v>
      </c>
      <c r="D293" s="79" t="s">
        <v>2</v>
      </c>
      <c r="E293" s="68" t="s">
        <v>142</v>
      </c>
      <c r="F293" s="68" t="s">
        <v>143</v>
      </c>
      <c r="G293" s="68" t="s">
        <v>144</v>
      </c>
      <c r="H293" s="68" t="s">
        <v>145</v>
      </c>
      <c r="I293" s="1"/>
      <c r="J293" s="122"/>
    </row>
    <row r="294" spans="1:10" ht="15" customHeight="1" x14ac:dyDescent="0.25">
      <c r="A294" s="1"/>
      <c r="B294" s="252"/>
      <c r="C294" s="90" t="s">
        <v>8</v>
      </c>
      <c r="D294" s="124"/>
      <c r="E294" s="77">
        <f>0.7926</f>
        <v>0.79259999999999997</v>
      </c>
      <c r="F294" s="77">
        <f>5503.67201</f>
        <v>5503.6720100000002</v>
      </c>
      <c r="G294" s="77"/>
      <c r="H294" s="77">
        <f>4137.31951</f>
        <v>4137.3195100000003</v>
      </c>
      <c r="I294" s="246"/>
      <c r="J294" s="122"/>
    </row>
    <row r="295" spans="1:10" ht="15" customHeight="1" x14ac:dyDescent="0.25">
      <c r="A295" s="1"/>
      <c r="B295" s="252"/>
      <c r="C295" s="90" t="s">
        <v>11</v>
      </c>
      <c r="D295" s="124"/>
      <c r="E295" s="77">
        <f>93.53012</f>
        <v>93.530119999999997</v>
      </c>
      <c r="F295" s="77">
        <f>3450.9735</f>
        <v>3450.9735000000001</v>
      </c>
      <c r="G295" s="77"/>
      <c r="H295" s="77">
        <f>3168.9713</f>
        <v>3168.9713000000002</v>
      </c>
      <c r="I295" s="246"/>
      <c r="J295" s="122"/>
    </row>
    <row r="296" spans="1:10" ht="15.75" customHeight="1" x14ac:dyDescent="0.25">
      <c r="A296" s="1"/>
      <c r="B296" s="252"/>
      <c r="C296" s="146" t="s">
        <v>68</v>
      </c>
      <c r="D296" s="168"/>
      <c r="E296" s="124">
        <f>0.7633</f>
        <v>0.76329999999999998</v>
      </c>
      <c r="F296" s="124">
        <f>504.55226</f>
        <v>504.55225999999999</v>
      </c>
      <c r="G296" s="168"/>
      <c r="H296" s="124">
        <f>579.31629</f>
        <v>579.31628999999998</v>
      </c>
      <c r="I296" s="246"/>
      <c r="J296" s="122"/>
    </row>
    <row r="297" spans="1:10" ht="16.5" customHeight="1" x14ac:dyDescent="0.25">
      <c r="A297" s="1"/>
      <c r="B297" s="252"/>
      <c r="C297" s="179" t="s">
        <v>88</v>
      </c>
      <c r="D297" s="190">
        <v>8076</v>
      </c>
      <c r="E297" s="190">
        <f>SUM(E294:E296)</f>
        <v>95.086019999999991</v>
      </c>
      <c r="F297" s="190">
        <f>SUM(F294:F296)</f>
        <v>9459.1977700000007</v>
      </c>
      <c r="G297" s="190">
        <f>D297-F297</f>
        <v>-1383.1977700000007</v>
      </c>
      <c r="H297" s="190">
        <f>SUM(H294:H296)</f>
        <v>7885.6071000000002</v>
      </c>
      <c r="I297" s="246"/>
      <c r="J297" s="122"/>
    </row>
    <row r="298" spans="1:10" ht="17.100000000000001" customHeight="1" x14ac:dyDescent="0.25">
      <c r="A298" s="1"/>
      <c r="B298" s="166"/>
      <c r="C298" s="201"/>
      <c r="D298" s="109"/>
      <c r="E298" s="109"/>
      <c r="F298" s="212"/>
      <c r="G298" s="212"/>
      <c r="H298" s="212"/>
      <c r="I298" s="212"/>
      <c r="J298" s="214"/>
    </row>
    <row r="299" spans="1:10" ht="0" hidden="1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0" hidden="1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17.100000000000001" customHeight="1" x14ac:dyDescent="0.25">
      <c r="A332" s="1" t="s">
        <v>119</v>
      </c>
      <c r="B332" s="1"/>
      <c r="C332" s="1"/>
      <c r="D332" s="1"/>
      <c r="E332" s="1"/>
      <c r="F332" s="1"/>
      <c r="G332" s="1"/>
      <c r="H332" s="1"/>
      <c r="I332" s="1"/>
      <c r="J332" s="216"/>
    </row>
    <row r="333" spans="1:10" ht="30" customHeight="1" x14ac:dyDescent="0.25">
      <c r="A333" s="216"/>
      <c r="B333" s="216"/>
      <c r="C333" s="217" t="s">
        <v>90</v>
      </c>
      <c r="D333" s="216"/>
      <c r="E333" s="216"/>
      <c r="F333" s="216"/>
      <c r="G333" s="216"/>
      <c r="H333" s="216"/>
      <c r="I333" s="216"/>
      <c r="J333" s="222"/>
    </row>
    <row r="334" spans="1:10" ht="30" customHeight="1" x14ac:dyDescent="0.25">
      <c r="A334" s="216" t="s">
        <v>119</v>
      </c>
      <c r="B334" s="216"/>
      <c r="C334" s="217"/>
      <c r="D334" s="216"/>
      <c r="E334" s="216"/>
      <c r="F334" s="216"/>
      <c r="G334" s="216"/>
      <c r="H334" s="216"/>
      <c r="I334" s="216"/>
      <c r="J334" s="222"/>
    </row>
    <row r="335" spans="1:10" ht="14.1" customHeight="1" x14ac:dyDescent="0.25">
      <c r="A335" s="1"/>
      <c r="B335" s="138"/>
      <c r="C335" s="176"/>
      <c r="D335" s="176"/>
      <c r="E335" s="176"/>
      <c r="F335" s="176"/>
      <c r="G335" s="176"/>
      <c r="H335" s="176"/>
      <c r="I335" s="176"/>
      <c r="J335" s="164"/>
    </row>
    <row r="336" spans="1:10" ht="14.1" customHeight="1" x14ac:dyDescent="0.25">
      <c r="A336" s="159"/>
      <c r="B336" s="54"/>
      <c r="C336" s="151" t="s">
        <v>1</v>
      </c>
      <c r="D336" s="187"/>
      <c r="E336" s="152"/>
      <c r="F336" s="152"/>
      <c r="G336" s="159"/>
      <c r="H336" s="159"/>
      <c r="I336" s="159"/>
      <c r="J336" s="122"/>
    </row>
    <row r="337" spans="1:10" ht="14.1" customHeight="1" x14ac:dyDescent="0.25">
      <c r="A337" s="1"/>
      <c r="B337" s="252"/>
      <c r="C337" s="257" t="s">
        <v>85</v>
      </c>
      <c r="D337" s="268">
        <v>3299</v>
      </c>
      <c r="E337" s="152"/>
      <c r="F337" s="223"/>
      <c r="G337" s="1"/>
      <c r="H337" s="1"/>
      <c r="I337" s="1"/>
      <c r="J337" s="122"/>
    </row>
    <row r="338" spans="1:10" ht="14.1" customHeight="1" x14ac:dyDescent="0.25">
      <c r="A338" s="1"/>
      <c r="B338" s="252"/>
      <c r="C338" s="246" t="s">
        <v>91</v>
      </c>
      <c r="D338" s="46">
        <v>9882</v>
      </c>
      <c r="E338" s="152"/>
      <c r="F338" s="223"/>
      <c r="G338" s="1"/>
      <c r="H338" s="1"/>
      <c r="I338" s="1"/>
      <c r="J338" s="122"/>
    </row>
    <row r="339" spans="1:10" ht="14.1" customHeight="1" x14ac:dyDescent="0.25">
      <c r="A339" s="1"/>
      <c r="B339" s="252"/>
      <c r="C339" s="246" t="s">
        <v>92</v>
      </c>
      <c r="D339" s="46">
        <v>8089</v>
      </c>
      <c r="E339" s="152"/>
      <c r="F339" s="223"/>
      <c r="G339" s="1"/>
      <c r="H339" s="1"/>
      <c r="I339" s="1"/>
      <c r="J339" s="122"/>
    </row>
    <row r="340" spans="1:10" ht="13.5" customHeight="1" x14ac:dyDescent="0.25">
      <c r="A340" s="1"/>
      <c r="B340" s="252"/>
      <c r="C340" s="246" t="s">
        <v>75</v>
      </c>
      <c r="D340" s="46">
        <v>382</v>
      </c>
      <c r="E340" s="152"/>
      <c r="F340" s="223"/>
      <c r="G340" s="1"/>
      <c r="H340" s="1"/>
      <c r="I340" s="1"/>
      <c r="J340" s="122"/>
    </row>
    <row r="341" spans="1:10" ht="14.25" customHeight="1" x14ac:dyDescent="0.25">
      <c r="A341" s="1"/>
      <c r="B341" s="252"/>
      <c r="C341" s="57" t="s">
        <v>50</v>
      </c>
      <c r="D341" s="35">
        <f>SUM(D337:D340)</f>
        <v>21652</v>
      </c>
      <c r="E341" s="152"/>
      <c r="F341" s="152"/>
      <c r="G341" s="1"/>
      <c r="H341" s="1"/>
      <c r="I341" s="1"/>
      <c r="J341" s="122"/>
    </row>
    <row r="342" spans="1:10" ht="14.1" customHeight="1" x14ac:dyDescent="0.25">
      <c r="A342" s="1"/>
      <c r="B342" s="252"/>
      <c r="C342" s="226" t="s">
        <v>93</v>
      </c>
      <c r="D342" s="227"/>
      <c r="E342" s="181"/>
      <c r="F342" s="181"/>
      <c r="G342" s="1"/>
      <c r="H342" s="1"/>
      <c r="I342" s="1"/>
      <c r="J342" s="122"/>
    </row>
    <row r="343" spans="1:10" ht="15" customHeight="1" x14ac:dyDescent="0.25">
      <c r="A343" s="1"/>
      <c r="B343" s="252"/>
      <c r="C343" s="101" t="s">
        <v>94</v>
      </c>
      <c r="D343" s="228"/>
      <c r="E343" s="1"/>
      <c r="F343" s="1"/>
      <c r="G343" s="1"/>
      <c r="H343" s="1"/>
      <c r="I343" s="1"/>
      <c r="J343" s="122"/>
    </row>
    <row r="344" spans="1:10" ht="14.25" customHeight="1" x14ac:dyDescent="0.25">
      <c r="A344" s="1"/>
      <c r="B344" s="252"/>
      <c r="C344" s="101" t="s">
        <v>95</v>
      </c>
      <c r="D344" s="1"/>
      <c r="E344" s="1"/>
      <c r="F344" s="1"/>
      <c r="G344" s="1"/>
      <c r="H344" s="1"/>
      <c r="I344" s="1"/>
      <c r="J344" s="122"/>
    </row>
    <row r="345" spans="1:10" ht="23.25" customHeight="1" x14ac:dyDescent="0.25">
      <c r="A345" s="1"/>
      <c r="B345" s="229"/>
      <c r="C345" s="232" t="s">
        <v>15</v>
      </c>
      <c r="D345" s="232"/>
      <c r="E345" s="232"/>
      <c r="F345" s="232"/>
      <c r="G345" s="232"/>
      <c r="H345" s="232"/>
      <c r="I345" s="232"/>
      <c r="J345" s="236"/>
    </row>
    <row r="346" spans="1:10" ht="14.1" customHeight="1" x14ac:dyDescent="0.25">
      <c r="A346" s="1"/>
      <c r="B346" s="238"/>
      <c r="C346" s="240"/>
      <c r="D346" s="240"/>
      <c r="E346" s="240"/>
      <c r="F346" s="240"/>
      <c r="G346" s="240"/>
      <c r="H346" s="240"/>
      <c r="I346" s="240"/>
      <c r="J346" s="122"/>
    </row>
    <row r="347" spans="1:10" ht="54" customHeight="1" x14ac:dyDescent="0.25">
      <c r="A347" s="1"/>
      <c r="B347" s="252"/>
      <c r="C347" s="68" t="s">
        <v>16</v>
      </c>
      <c r="D347" s="241" t="s">
        <v>2</v>
      </c>
      <c r="E347" s="68" t="s">
        <v>142</v>
      </c>
      <c r="F347" s="68" t="s">
        <v>143</v>
      </c>
      <c r="G347" s="68" t="s">
        <v>144</v>
      </c>
      <c r="H347" s="68" t="s">
        <v>145</v>
      </c>
      <c r="I347" s="1"/>
      <c r="J347" s="118"/>
    </row>
    <row r="348" spans="1:10" ht="14.1" customHeight="1" x14ac:dyDescent="0.25">
      <c r="A348" s="70"/>
      <c r="B348" s="81"/>
      <c r="C348" s="90" t="s">
        <v>96</v>
      </c>
      <c r="D348" s="124">
        <v>800</v>
      </c>
      <c r="E348" s="124">
        <f>1.56704</f>
        <v>1.56704</v>
      </c>
      <c r="F348" s="124">
        <f>549.63206</f>
        <v>549.63206000000002</v>
      </c>
      <c r="G348" s="124">
        <f>D348-F348</f>
        <v>250.36793999999998</v>
      </c>
      <c r="H348" s="124">
        <f>357.71602</f>
        <v>357.71602000000001</v>
      </c>
      <c r="I348" s="70"/>
      <c r="J348" s="242"/>
    </row>
    <row r="349" spans="1:10" ht="14.1" customHeight="1" x14ac:dyDescent="0.25">
      <c r="A349" s="1"/>
      <c r="B349" s="252"/>
      <c r="C349" s="90" t="s">
        <v>97</v>
      </c>
      <c r="D349" s="244">
        <v>2494</v>
      </c>
      <c r="E349" s="124">
        <f>30.06973</f>
        <v>30.06973</v>
      </c>
      <c r="F349" s="124">
        <f>2689.88114</f>
        <v>2689.88114</v>
      </c>
      <c r="G349" s="124">
        <f>D349-F349</f>
        <v>-195.88113999999996</v>
      </c>
      <c r="H349" s="124">
        <f>1673.05936</f>
        <v>1673.05936</v>
      </c>
      <c r="I349" s="181"/>
      <c r="J349" s="118"/>
    </row>
    <row r="350" spans="1:10" ht="16.5" customHeight="1" x14ac:dyDescent="0.25">
      <c r="A350" s="70"/>
      <c r="B350" s="81"/>
      <c r="C350" s="146" t="s">
        <v>82</v>
      </c>
      <c r="D350" s="244">
        <v>5</v>
      </c>
      <c r="E350" s="168">
        <f>0</f>
        <v>0</v>
      </c>
      <c r="F350" s="168">
        <f>2.73874</f>
        <v>2.73874</v>
      </c>
      <c r="G350" s="124">
        <f>D350-F350</f>
        <v>2.26126</v>
      </c>
      <c r="H350" s="168">
        <f>1.0032</f>
        <v>1.0032000000000001</v>
      </c>
      <c r="I350" s="70"/>
      <c r="J350" s="247"/>
    </row>
    <row r="351" spans="1:10" ht="18.75" customHeight="1" x14ac:dyDescent="0.25">
      <c r="A351" s="70"/>
      <c r="B351" s="248"/>
      <c r="C351" s="146" t="s">
        <v>98</v>
      </c>
      <c r="D351" s="220"/>
      <c r="E351" s="168">
        <f>0.08119</f>
        <v>8.1189999999999998E-2</v>
      </c>
      <c r="F351" s="168">
        <f>1.78973</f>
        <v>1.78973</v>
      </c>
      <c r="G351" s="124"/>
      <c r="H351" s="168">
        <f>6.86317</f>
        <v>6.8631700000000002</v>
      </c>
      <c r="I351" s="282"/>
      <c r="J351" s="122"/>
    </row>
    <row r="352" spans="1:10" ht="14.1" customHeight="1" x14ac:dyDescent="0.25">
      <c r="A352" s="1"/>
      <c r="B352" s="252"/>
      <c r="C352" s="179" t="s">
        <v>88</v>
      </c>
      <c r="D352" s="6">
        <f>D337</f>
        <v>3299</v>
      </c>
      <c r="E352" s="190">
        <f>SUM(E348:E351)</f>
        <v>31.717959999999998</v>
      </c>
      <c r="F352" s="190">
        <f>SUM(F348:F351)</f>
        <v>3244.0416699999996</v>
      </c>
      <c r="G352" s="190">
        <f>D352-F352</f>
        <v>54.958330000000387</v>
      </c>
      <c r="H352" s="190">
        <f>H348+H349+H350+H351</f>
        <v>2038.6417500000002</v>
      </c>
      <c r="I352" s="1"/>
      <c r="J352" s="122"/>
    </row>
    <row r="353" spans="1:10" ht="14.1" customHeight="1" x14ac:dyDescent="0.25">
      <c r="A353" s="1"/>
      <c r="B353" s="252"/>
      <c r="C353" s="21"/>
      <c r="D353" s="34"/>
      <c r="E353" s="34"/>
      <c r="F353" s="34"/>
      <c r="G353" s="34"/>
      <c r="H353" s="34"/>
      <c r="I353" s="1"/>
      <c r="J353" s="122"/>
    </row>
    <row r="354" spans="1:10" ht="14.1" customHeight="1" x14ac:dyDescent="0.25">
      <c r="A354" s="1"/>
      <c r="B354" s="166"/>
      <c r="C354" s="109"/>
      <c r="D354" s="109"/>
      <c r="E354" s="109"/>
      <c r="F354" s="109"/>
      <c r="G354" s="108"/>
      <c r="H354" s="109"/>
      <c r="I354" s="109"/>
      <c r="J354" s="120"/>
    </row>
    <row r="355" spans="1:10" ht="14.1" customHeight="1" x14ac:dyDescent="0.25">
      <c r="A355" s="1"/>
      <c r="C355" s="152" t="s">
        <v>119</v>
      </c>
    </row>
    <row r="356" spans="1:10" ht="14.1" customHeight="1" x14ac:dyDescent="0.25">
      <c r="A356" s="1" t="s">
        <v>119</v>
      </c>
    </row>
    <row r="357" spans="1:10" ht="14.1" customHeight="1" x14ac:dyDescent="0.25">
      <c r="A357" s="1" t="s">
        <v>119</v>
      </c>
    </row>
    <row r="358" spans="1:10" ht="14.1" customHeight="1" x14ac:dyDescent="0.25">
      <c r="A358" s="1"/>
      <c r="C358" s="152" t="s">
        <v>119</v>
      </c>
    </row>
    <row r="359" spans="1:10" ht="36" customHeight="1" x14ac:dyDescent="0.25">
      <c r="A359" s="1"/>
      <c r="C359" s="152" t="s">
        <v>119</v>
      </c>
    </row>
    <row r="360" spans="1:10" ht="14.1" customHeight="1" x14ac:dyDescent="0.25">
      <c r="A360" s="1"/>
      <c r="C360" s="152" t="s">
        <v>119</v>
      </c>
    </row>
    <row r="361" spans="1:10" ht="14.1" customHeight="1" x14ac:dyDescent="0.25">
      <c r="A361" s="1"/>
      <c r="C361" s="152" t="s">
        <v>119</v>
      </c>
    </row>
    <row r="362" spans="1:10" ht="30" customHeight="1" x14ac:dyDescent="0.35">
      <c r="A362" s="216"/>
      <c r="B362" s="1"/>
      <c r="C362" s="213" t="s">
        <v>99</v>
      </c>
      <c r="D362" s="159"/>
      <c r="E362" s="1"/>
      <c r="F362" s="1"/>
      <c r="G362" s="1"/>
      <c r="H362" s="1"/>
      <c r="I362" s="1"/>
      <c r="J362" s="1"/>
    </row>
    <row r="363" spans="1:10" ht="17.100000000000001" customHeight="1" x14ac:dyDescent="0.25">
      <c r="B363" s="126"/>
      <c r="C363" s="237"/>
      <c r="D363" s="237"/>
      <c r="E363" s="237"/>
      <c r="F363" s="237"/>
      <c r="G363" s="237"/>
      <c r="H363" s="237"/>
      <c r="I363" s="237"/>
      <c r="J363" s="62"/>
    </row>
    <row r="364" spans="1:10" ht="6" customHeight="1" x14ac:dyDescent="0.25">
      <c r="B364" s="74"/>
      <c r="C364" s="152"/>
      <c r="D364" s="152"/>
      <c r="E364" s="152"/>
      <c r="F364" s="152"/>
      <c r="G364" s="152"/>
      <c r="H364" s="152"/>
      <c r="I364" s="152"/>
      <c r="J364" s="132"/>
    </row>
    <row r="365" spans="1:10" ht="18" customHeight="1" x14ac:dyDescent="0.25">
      <c r="B365" s="74"/>
      <c r="C365" s="151" t="s">
        <v>1</v>
      </c>
      <c r="D365" s="187"/>
      <c r="E365" s="151" t="s">
        <v>100</v>
      </c>
      <c r="F365" s="187"/>
      <c r="G365" s="151" t="s">
        <v>101</v>
      </c>
      <c r="H365" s="187"/>
      <c r="I365" s="152"/>
      <c r="J365" s="132"/>
    </row>
    <row r="366" spans="1:10" ht="14.25" customHeight="1" x14ac:dyDescent="0.25">
      <c r="B366" s="74"/>
      <c r="C366" s="257" t="s">
        <v>85</v>
      </c>
      <c r="D366" s="268">
        <v>27365</v>
      </c>
      <c r="E366" s="250" t="s">
        <v>4</v>
      </c>
      <c r="F366" s="105">
        <v>13865</v>
      </c>
      <c r="G366" s="246" t="s">
        <v>20</v>
      </c>
      <c r="H366" s="46">
        <v>6472</v>
      </c>
      <c r="I366" s="152"/>
      <c r="J366" s="132"/>
    </row>
    <row r="367" spans="1:10" ht="14.25" customHeight="1" x14ac:dyDescent="0.25">
      <c r="B367" s="74"/>
      <c r="C367" s="246" t="s">
        <v>92</v>
      </c>
      <c r="D367" s="46">
        <v>19433</v>
      </c>
      <c r="E367" s="181" t="s">
        <v>97</v>
      </c>
      <c r="F367" s="49">
        <v>8000</v>
      </c>
      <c r="G367" s="246" t="s">
        <v>21</v>
      </c>
      <c r="H367" s="46">
        <v>1684</v>
      </c>
      <c r="I367" s="152"/>
      <c r="J367" s="132"/>
    </row>
    <row r="368" spans="1:10" ht="14.25" customHeight="1" x14ac:dyDescent="0.25">
      <c r="B368" s="74"/>
      <c r="C368" s="246" t="s">
        <v>91</v>
      </c>
      <c r="D368" s="46">
        <v>6186</v>
      </c>
      <c r="E368" s="181" t="s">
        <v>60</v>
      </c>
      <c r="F368" s="49">
        <v>5500</v>
      </c>
      <c r="G368" s="246" t="s">
        <v>102</v>
      </c>
      <c r="H368" s="46">
        <v>4296</v>
      </c>
      <c r="I368" s="152"/>
      <c r="J368" s="132"/>
    </row>
    <row r="369" spans="1:10" ht="14.1" customHeight="1" x14ac:dyDescent="0.25">
      <c r="B369" s="74"/>
      <c r="C369" s="246"/>
      <c r="D369" s="46"/>
      <c r="E369" s="133"/>
      <c r="F369" s="147"/>
      <c r="G369" s="246" t="s">
        <v>103</v>
      </c>
      <c r="H369" s="46">
        <v>1313</v>
      </c>
      <c r="I369" s="152"/>
      <c r="J369" s="132"/>
    </row>
    <row r="370" spans="1:10" ht="14.1" customHeight="1" x14ac:dyDescent="0.25">
      <c r="B370" s="74"/>
      <c r="C370" s="57" t="s">
        <v>50</v>
      </c>
      <c r="D370" s="35">
        <v>53374</v>
      </c>
      <c r="E370" s="175" t="s">
        <v>104</v>
      </c>
      <c r="F370" s="35">
        <f>F366+F367+F368</f>
        <v>27365</v>
      </c>
      <c r="G370" s="57" t="s">
        <v>4</v>
      </c>
      <c r="H370" s="35">
        <f>SUM(H366:H369)</f>
        <v>13765</v>
      </c>
      <c r="I370" s="152"/>
      <c r="J370" s="132"/>
    </row>
    <row r="371" spans="1:10" ht="13.35" customHeight="1" x14ac:dyDescent="0.25">
      <c r="B371" s="74"/>
      <c r="C371" s="101" t="s">
        <v>120</v>
      </c>
      <c r="D371" s="181"/>
      <c r="E371" s="181"/>
      <c r="F371" s="181"/>
      <c r="G371" s="1"/>
      <c r="H371" s="181"/>
      <c r="I371" s="181"/>
      <c r="J371" s="242"/>
    </row>
    <row r="372" spans="1:10" ht="13.35" customHeight="1" x14ac:dyDescent="0.25">
      <c r="B372" s="74"/>
      <c r="C372" s="101" t="s">
        <v>105</v>
      </c>
      <c r="D372" s="1"/>
      <c r="E372" s="1"/>
      <c r="F372" s="1"/>
      <c r="G372" s="1"/>
      <c r="H372" s="1"/>
      <c r="I372" s="1"/>
      <c r="J372" s="122"/>
    </row>
    <row r="373" spans="1:10" ht="9.75" customHeight="1" x14ac:dyDescent="0.25">
      <c r="B373" s="74"/>
      <c r="C373" s="101"/>
      <c r="D373" s="1"/>
      <c r="E373" s="1"/>
      <c r="F373" s="1"/>
      <c r="G373" s="1"/>
      <c r="H373" s="1"/>
      <c r="I373" s="1"/>
      <c r="J373" s="122"/>
    </row>
    <row r="374" spans="1:10" ht="18" customHeight="1" x14ac:dyDescent="0.25">
      <c r="B374" s="74"/>
      <c r="C374" s="152"/>
      <c r="D374" s="152"/>
      <c r="E374" s="152"/>
      <c r="F374" s="152"/>
      <c r="G374" s="152"/>
      <c r="H374" s="152"/>
      <c r="I374" s="152"/>
      <c r="J374" s="132"/>
    </row>
    <row r="375" spans="1:10" ht="29.25" customHeight="1" x14ac:dyDescent="0.25">
      <c r="B375" s="229"/>
      <c r="C375" s="232" t="s">
        <v>15</v>
      </c>
      <c r="D375" s="232"/>
      <c r="E375" s="232"/>
      <c r="F375" s="232"/>
      <c r="G375" s="232"/>
      <c r="H375" s="232"/>
      <c r="I375" s="232"/>
      <c r="J375" s="236"/>
    </row>
    <row r="376" spans="1:10" ht="18.75" customHeight="1" x14ac:dyDescent="0.25">
      <c r="B376" s="200"/>
      <c r="C376" s="222"/>
      <c r="D376" s="222"/>
      <c r="E376" s="222"/>
      <c r="F376" s="222"/>
      <c r="G376" s="222"/>
      <c r="H376" s="222"/>
      <c r="I376" s="222"/>
      <c r="J376" s="13"/>
    </row>
    <row r="377" spans="1:10" ht="64.5" customHeight="1" x14ac:dyDescent="0.25">
      <c r="B377" s="74"/>
      <c r="C377" s="221" t="s">
        <v>16</v>
      </c>
      <c r="D377" s="230" t="s">
        <v>17</v>
      </c>
      <c r="E377" s="68" t="s">
        <v>106</v>
      </c>
      <c r="F377" s="221" t="s">
        <v>142</v>
      </c>
      <c r="G377" s="221" t="s">
        <v>143</v>
      </c>
      <c r="H377" s="221" t="s">
        <v>144</v>
      </c>
      <c r="I377" s="221" t="s">
        <v>145</v>
      </c>
      <c r="J377" s="132"/>
    </row>
    <row r="378" spans="1:10" ht="14.1" customHeight="1" x14ac:dyDescent="0.25">
      <c r="A378" s="216"/>
      <c r="B378" s="74"/>
      <c r="C378" s="245" t="s">
        <v>19</v>
      </c>
      <c r="D378" s="249">
        <f t="shared" ref="D378:I378" si="15">D382+D381+D380+D379</f>
        <v>13765</v>
      </c>
      <c r="E378" s="249">
        <f t="shared" si="15"/>
        <v>16102</v>
      </c>
      <c r="F378" s="251">
        <f t="shared" si="15"/>
        <v>18.175000000000001</v>
      </c>
      <c r="G378" s="251">
        <f t="shared" si="15"/>
        <v>16242.349250000001</v>
      </c>
      <c r="H378" s="251">
        <f>H382+H381+H380+H379</f>
        <v>-140.34925000000067</v>
      </c>
      <c r="I378" s="251">
        <f t="shared" si="15"/>
        <v>9336.6625700000004</v>
      </c>
      <c r="J378" s="132"/>
    </row>
    <row r="379" spans="1:10" ht="14.1" customHeight="1" x14ac:dyDescent="0.25">
      <c r="A379" s="216"/>
      <c r="B379" s="74"/>
      <c r="C379" s="253" t="s">
        <v>107</v>
      </c>
      <c r="D379" s="254">
        <v>6472</v>
      </c>
      <c r="E379" s="254">
        <v>8177</v>
      </c>
      <c r="F379" s="255">
        <f>0</f>
        <v>0</v>
      </c>
      <c r="G379" s="255">
        <f>9908.37411</f>
        <v>9908.3741100000007</v>
      </c>
      <c r="H379" s="255">
        <f t="shared" ref="H379:H383" si="16">E379-G379</f>
        <v>-1731.3741100000007</v>
      </c>
      <c r="I379" s="255">
        <f>6255.32887</f>
        <v>6255.3288700000003</v>
      </c>
      <c r="J379" s="132"/>
    </row>
    <row r="380" spans="1:10" ht="14.1" customHeight="1" x14ac:dyDescent="0.25">
      <c r="A380" s="216"/>
      <c r="B380" s="74"/>
      <c r="C380" s="258" t="s">
        <v>21</v>
      </c>
      <c r="D380" s="254">
        <v>1684</v>
      </c>
      <c r="E380" s="254">
        <v>2128</v>
      </c>
      <c r="F380" s="255">
        <f>0</f>
        <v>0</v>
      </c>
      <c r="G380" s="255">
        <f>1404.39555</f>
        <v>1404.39555</v>
      </c>
      <c r="H380" s="255">
        <f t="shared" si="16"/>
        <v>723.60445000000004</v>
      </c>
      <c r="I380" s="255">
        <f>564.91155</f>
        <v>564.91155000000003</v>
      </c>
      <c r="J380" s="132"/>
    </row>
    <row r="381" spans="1:10" ht="14.1" customHeight="1" x14ac:dyDescent="0.25">
      <c r="A381" s="216"/>
      <c r="B381" s="74"/>
      <c r="C381" s="258" t="s">
        <v>103</v>
      </c>
      <c r="D381" s="254">
        <v>1313</v>
      </c>
      <c r="E381" s="254">
        <v>1357</v>
      </c>
      <c r="F381" s="255">
        <f>10.7436</f>
        <v>10.743600000000001</v>
      </c>
      <c r="G381" s="255">
        <f>1869.40709</f>
        <v>1869.4070899999999</v>
      </c>
      <c r="H381" s="255">
        <f t="shared" si="16"/>
        <v>-512.40708999999993</v>
      </c>
      <c r="I381" s="255">
        <f>1589.06995</f>
        <v>1589.0699500000001</v>
      </c>
      <c r="J381" s="132"/>
    </row>
    <row r="382" spans="1:10" ht="14.1" customHeight="1" x14ac:dyDescent="0.25">
      <c r="A382" s="216"/>
      <c r="B382" s="74"/>
      <c r="C382" s="260" t="s">
        <v>108</v>
      </c>
      <c r="D382" s="261">
        <v>4296</v>
      </c>
      <c r="E382" s="261">
        <v>4440</v>
      </c>
      <c r="F382" s="255">
        <f>7.4314</f>
        <v>7.4314</v>
      </c>
      <c r="G382" s="255">
        <f>3060.1725</f>
        <v>3060.1725000000001</v>
      </c>
      <c r="H382" s="255">
        <f t="shared" si="16"/>
        <v>1379.8274999999999</v>
      </c>
      <c r="I382" s="255">
        <f>927.3522</f>
        <v>927.35220000000004</v>
      </c>
      <c r="J382" s="132"/>
    </row>
    <row r="383" spans="1:10" ht="14.1" customHeight="1" x14ac:dyDescent="0.25">
      <c r="A383" s="216"/>
      <c r="B383" s="74"/>
      <c r="C383" s="263" t="s">
        <v>60</v>
      </c>
      <c r="D383" s="264">
        <v>5500</v>
      </c>
      <c r="E383" s="264">
        <v>5500</v>
      </c>
      <c r="F383" s="266">
        <f>1.154</f>
        <v>1.1539999999999999</v>
      </c>
      <c r="G383" s="266">
        <f>5111.96628</f>
        <v>5111.9662799999996</v>
      </c>
      <c r="H383" s="266">
        <f t="shared" si="16"/>
        <v>388.03372000000036</v>
      </c>
      <c r="I383" s="266">
        <f>4570.84576</f>
        <v>4570.8457600000002</v>
      </c>
      <c r="J383" s="132"/>
    </row>
    <row r="384" spans="1:10" ht="14.1" customHeight="1" x14ac:dyDescent="0.25">
      <c r="A384" s="216"/>
      <c r="B384" s="74"/>
      <c r="C384" s="245" t="s">
        <v>22</v>
      </c>
      <c r="D384" s="249">
        <v>8000</v>
      </c>
      <c r="E384" s="249">
        <v>8000</v>
      </c>
      <c r="F384" s="267">
        <f>F386+F385</f>
        <v>36.104990000000001</v>
      </c>
      <c r="G384" s="267">
        <f>G386+G385</f>
        <v>4148.9851200000003</v>
      </c>
      <c r="H384" s="267">
        <f>E384-G384</f>
        <v>3851.0148799999997</v>
      </c>
      <c r="I384" s="267">
        <f>I386+I385</f>
        <v>4355.5380999999998</v>
      </c>
      <c r="J384" s="132"/>
    </row>
    <row r="385" spans="1:10" ht="14.1" customHeight="1" x14ac:dyDescent="0.25">
      <c r="A385" s="216"/>
      <c r="B385" s="74"/>
      <c r="C385" s="258" t="s">
        <v>54</v>
      </c>
      <c r="D385" s="269"/>
      <c r="E385" s="254"/>
      <c r="F385" s="255">
        <f>3.9204</f>
        <v>3.9203999999999999</v>
      </c>
      <c r="G385" s="255">
        <f>864.02294</f>
        <v>864.02293999999995</v>
      </c>
      <c r="H385" s="255"/>
      <c r="I385" s="255">
        <f>1158.2507</f>
        <v>1158.2507000000001</v>
      </c>
      <c r="J385" s="132"/>
    </row>
    <row r="386" spans="1:10" ht="14.1" customHeight="1" x14ac:dyDescent="0.25">
      <c r="A386" s="216"/>
      <c r="B386" s="74"/>
      <c r="C386" s="271" t="s">
        <v>109</v>
      </c>
      <c r="D386" s="272"/>
      <c r="E386" s="275"/>
      <c r="F386" s="276">
        <f>32.18459</f>
        <v>32.18459</v>
      </c>
      <c r="G386" s="276">
        <f>3284.96218</f>
        <v>3284.96218</v>
      </c>
      <c r="H386" s="276"/>
      <c r="I386" s="276">
        <f>3197.2874</f>
        <v>3197.2874000000002</v>
      </c>
      <c r="J386" s="132"/>
    </row>
    <row r="387" spans="1:10" ht="14.1" customHeight="1" x14ac:dyDescent="0.25">
      <c r="A387" s="216"/>
      <c r="B387" s="74"/>
      <c r="C387" s="263" t="s">
        <v>34</v>
      </c>
      <c r="D387" s="264">
        <v>10</v>
      </c>
      <c r="E387" s="264">
        <v>10</v>
      </c>
      <c r="F387" s="266">
        <f>0</f>
        <v>0</v>
      </c>
      <c r="G387" s="266">
        <f>0.7485</f>
        <v>0.74850000000000005</v>
      </c>
      <c r="H387" s="266">
        <f>E387-G387</f>
        <v>9.2515000000000001</v>
      </c>
      <c r="I387" s="266">
        <f>0.4968</f>
        <v>0.49680000000000002</v>
      </c>
      <c r="J387" s="132"/>
    </row>
    <row r="388" spans="1:10" ht="14.1" customHeight="1" x14ac:dyDescent="0.25">
      <c r="A388" s="216"/>
      <c r="B388" s="74"/>
      <c r="C388" s="277" t="s">
        <v>110</v>
      </c>
      <c r="D388" s="280"/>
      <c r="E388" s="281"/>
      <c r="F388" s="266">
        <f>0.31136</f>
        <v>0.31136000000000003</v>
      </c>
      <c r="G388" s="266">
        <f>117.21218</f>
        <v>117.21218</v>
      </c>
      <c r="H388" s="266">
        <f>E388-G388</f>
        <v>-117.21218</v>
      </c>
      <c r="I388" s="266">
        <f>235.29536</f>
        <v>235.29535999999999</v>
      </c>
      <c r="J388" s="132"/>
    </row>
    <row r="389" spans="1:10" ht="19.5" customHeight="1" x14ac:dyDescent="0.25">
      <c r="A389" s="216"/>
      <c r="B389" s="74"/>
      <c r="C389" s="283" t="s">
        <v>41</v>
      </c>
      <c r="D389" s="284">
        <f>D378+D383+D384+D387+D388</f>
        <v>27275</v>
      </c>
      <c r="E389" s="284">
        <f>E378+E383+E384+E387+E388</f>
        <v>29612</v>
      </c>
      <c r="F389" s="285">
        <f t="shared" ref="F389:I389" si="17">F378+F383+F384+F387+F388</f>
        <v>55.745350000000002</v>
      </c>
      <c r="G389" s="285">
        <f t="shared" si="17"/>
        <v>25621.261330000001</v>
      </c>
      <c r="H389" s="285">
        <f>H378+H383+H384+H387+H388</f>
        <v>3990.7386699999993</v>
      </c>
      <c r="I389" s="285">
        <f t="shared" si="17"/>
        <v>18498.838590000003</v>
      </c>
      <c r="J389" s="132"/>
    </row>
    <row r="390" spans="1:10" ht="14.1" customHeight="1" x14ac:dyDescent="0.25">
      <c r="A390" s="216"/>
      <c r="B390" s="74"/>
      <c r="C390" s="163" t="s">
        <v>111</v>
      </c>
      <c r="D390" s="287"/>
      <c r="E390" s="287"/>
      <c r="F390" s="4"/>
      <c r="G390" s="4"/>
      <c r="H390" s="5"/>
      <c r="I390" s="5"/>
      <c r="J390" s="132"/>
    </row>
    <row r="391" spans="1:10" ht="14.1" customHeight="1" x14ac:dyDescent="0.25">
      <c r="A391" s="216"/>
      <c r="B391" s="74"/>
      <c r="C391" s="101" t="s">
        <v>121</v>
      </c>
      <c r="D391" s="287"/>
      <c r="E391" s="287"/>
      <c r="F391" s="4"/>
      <c r="G391" s="4"/>
      <c r="H391" s="7"/>
      <c r="I391" s="5"/>
      <c r="J391" s="132"/>
    </row>
    <row r="392" spans="1:10" ht="14.1" customHeight="1" x14ac:dyDescent="0.25">
      <c r="A392" s="216"/>
      <c r="B392" s="74"/>
      <c r="C392" s="101" t="s">
        <v>122</v>
      </c>
      <c r="D392" s="287"/>
      <c r="E392" s="287"/>
      <c r="F392" s="4"/>
      <c r="G392" s="4"/>
      <c r="H392" s="5"/>
      <c r="I392" s="7"/>
      <c r="J392" s="132"/>
    </row>
    <row r="393" spans="1:10" ht="15.75" customHeight="1" x14ac:dyDescent="0.25">
      <c r="A393" s="216"/>
      <c r="B393" s="8"/>
      <c r="C393" s="9"/>
      <c r="D393" s="109"/>
      <c r="E393" s="109"/>
      <c r="F393" s="109"/>
      <c r="G393" s="109"/>
      <c r="H393" s="109"/>
      <c r="I393" s="109"/>
      <c r="J393" s="12"/>
    </row>
    <row r="394" spans="1:10" ht="15.75" customHeight="1" x14ac:dyDescent="0.25">
      <c r="A394" s="216"/>
      <c r="B394" s="152" t="s">
        <v>119</v>
      </c>
      <c r="C394" s="14"/>
      <c r="D394" s="1"/>
      <c r="E394" s="1"/>
      <c r="F394" s="1"/>
      <c r="G394" s="1"/>
      <c r="H394" s="1"/>
      <c r="I394" s="1"/>
      <c r="J394" s="152"/>
    </row>
    <row r="395" spans="1:10" ht="15.75" customHeight="1" x14ac:dyDescent="0.25">
      <c r="A395" s="216"/>
      <c r="B395" s="152" t="s">
        <v>119</v>
      </c>
      <c r="C395" s="14"/>
      <c r="D395" s="1"/>
      <c r="E395" s="1"/>
      <c r="F395" s="1"/>
      <c r="G395" s="1"/>
      <c r="H395" s="1"/>
      <c r="I395" s="1"/>
      <c r="J395" s="152"/>
    </row>
    <row r="396" spans="1:10" ht="14.1" customHeight="1" x14ac:dyDescent="0.25">
      <c r="A396" s="216"/>
      <c r="C396" s="152" t="s">
        <v>119</v>
      </c>
      <c r="D396" s="159"/>
    </row>
    <row r="397" spans="1:10" ht="14.1" customHeight="1" x14ac:dyDescent="0.25">
      <c r="A397" s="216"/>
      <c r="B397" s="126"/>
      <c r="C397" s="237"/>
      <c r="D397" s="17"/>
      <c r="E397" s="237"/>
      <c r="F397" s="237"/>
      <c r="G397" s="237"/>
      <c r="H397" s="237"/>
      <c r="I397" s="237"/>
      <c r="J397" s="62"/>
    </row>
    <row r="398" spans="1:10" ht="14.1" customHeight="1" x14ac:dyDescent="0.25">
      <c r="A398" s="216"/>
      <c r="B398" s="74"/>
      <c r="C398" s="217" t="s">
        <v>112</v>
      </c>
      <c r="D398" s="159"/>
      <c r="E398" s="152"/>
      <c r="G398" s="152"/>
      <c r="H398" s="152"/>
      <c r="I398" s="152"/>
      <c r="J398" s="132"/>
    </row>
    <row r="399" spans="1:10" ht="14.1" customHeight="1" x14ac:dyDescent="0.25">
      <c r="A399" s="216"/>
      <c r="B399" s="74"/>
      <c r="C399" s="152"/>
      <c r="D399" s="159"/>
      <c r="E399" s="152"/>
      <c r="G399" s="152"/>
      <c r="H399" s="152"/>
      <c r="I399" s="152"/>
      <c r="J399" s="132"/>
    </row>
    <row r="400" spans="1:10" ht="14.1" customHeight="1" x14ac:dyDescent="0.25">
      <c r="A400" s="216"/>
      <c r="B400" s="74"/>
      <c r="C400" s="151" t="s">
        <v>113</v>
      </c>
      <c r="D400" s="187"/>
      <c r="E400" s="152"/>
      <c r="F400" s="152"/>
      <c r="G400" s="152"/>
      <c r="H400" s="152"/>
      <c r="I400" s="152"/>
      <c r="J400" s="132"/>
    </row>
    <row r="401" spans="1:10" ht="14.1" customHeight="1" x14ac:dyDescent="0.25">
      <c r="A401" s="216"/>
      <c r="B401" s="74"/>
      <c r="C401" s="257" t="s">
        <v>6</v>
      </c>
      <c r="D401" s="268"/>
      <c r="E401" s="152"/>
      <c r="F401" s="152"/>
      <c r="G401" s="152"/>
      <c r="H401" s="152"/>
      <c r="I401" s="152"/>
      <c r="J401" s="132"/>
    </row>
    <row r="402" spans="1:10" ht="14.1" customHeight="1" x14ac:dyDescent="0.25">
      <c r="A402" s="216"/>
      <c r="B402" s="74"/>
      <c r="C402" s="246" t="s">
        <v>92</v>
      </c>
      <c r="D402" s="46"/>
      <c r="E402" s="152"/>
      <c r="G402" s="152"/>
      <c r="H402" s="152"/>
      <c r="I402" s="152"/>
      <c r="J402" s="132"/>
    </row>
    <row r="403" spans="1:10" ht="14.1" customHeight="1" x14ac:dyDescent="0.25">
      <c r="A403" s="216"/>
      <c r="B403" s="74"/>
      <c r="C403" s="246" t="s">
        <v>75</v>
      </c>
      <c r="D403" s="46"/>
      <c r="E403" s="152"/>
      <c r="F403" s="152"/>
      <c r="G403" s="152"/>
      <c r="H403" s="152"/>
      <c r="I403" s="152"/>
      <c r="J403" s="132"/>
    </row>
    <row r="404" spans="1:10" ht="14.1" customHeight="1" x14ac:dyDescent="0.25">
      <c r="A404" s="216"/>
      <c r="B404" s="74"/>
      <c r="C404" s="57" t="s">
        <v>50</v>
      </c>
      <c r="D404" s="35"/>
      <c r="E404" s="152"/>
      <c r="F404" s="152"/>
      <c r="G404" s="152"/>
      <c r="H404" s="152"/>
      <c r="I404" s="152"/>
      <c r="J404" s="132"/>
    </row>
    <row r="405" spans="1:10" ht="14.1" customHeight="1" x14ac:dyDescent="0.25">
      <c r="A405" s="216"/>
      <c r="B405" s="74"/>
      <c r="C405" s="226"/>
      <c r="D405" s="147"/>
      <c r="E405" s="152"/>
      <c r="F405" s="152"/>
      <c r="G405" s="152"/>
      <c r="H405" s="152"/>
      <c r="I405" s="152"/>
      <c r="J405" s="132"/>
    </row>
    <row r="406" spans="1:10" ht="14.1" customHeight="1" x14ac:dyDescent="0.25">
      <c r="A406" s="216"/>
      <c r="B406" s="74"/>
      <c r="C406" s="101"/>
      <c r="D406" s="133"/>
      <c r="E406" s="152"/>
      <c r="F406" s="152"/>
      <c r="G406" s="152"/>
      <c r="H406" s="152"/>
      <c r="I406" s="152"/>
      <c r="J406" s="132"/>
    </row>
    <row r="407" spans="1:10" ht="14.1" customHeight="1" x14ac:dyDescent="0.25">
      <c r="A407" s="216"/>
      <c r="B407" s="74"/>
      <c r="C407" s="152"/>
      <c r="D407" s="159"/>
      <c r="E407" s="152"/>
      <c r="F407" s="152"/>
      <c r="G407" s="152"/>
      <c r="H407" s="152"/>
      <c r="I407" s="152"/>
      <c r="J407" s="132"/>
    </row>
    <row r="408" spans="1:10" ht="14.1" customHeight="1" x14ac:dyDescent="0.25">
      <c r="A408" s="216"/>
      <c r="B408" s="74"/>
      <c r="C408" s="152"/>
      <c r="D408" s="152"/>
      <c r="E408" s="152"/>
      <c r="F408" s="152"/>
      <c r="G408" s="152"/>
      <c r="H408" s="152"/>
      <c r="I408" s="152"/>
      <c r="J408" s="132"/>
    </row>
    <row r="409" spans="1:10" ht="29.25" customHeight="1" x14ac:dyDescent="0.25">
      <c r="A409" s="216"/>
      <c r="B409" s="229"/>
      <c r="C409" s="232" t="s">
        <v>15</v>
      </c>
      <c r="D409" s="232"/>
      <c r="E409" s="232"/>
      <c r="F409" s="232"/>
      <c r="G409" s="232"/>
      <c r="H409" s="232"/>
      <c r="I409" s="232"/>
      <c r="J409" s="236"/>
    </row>
    <row r="410" spans="1:10" ht="78" customHeight="1" x14ac:dyDescent="0.25">
      <c r="A410" s="216"/>
      <c r="B410" s="200"/>
      <c r="C410" s="20" t="s">
        <v>114</v>
      </c>
      <c r="D410" s="22" t="s">
        <v>115</v>
      </c>
      <c r="E410" s="20" t="s">
        <v>142</v>
      </c>
      <c r="F410" s="20" t="s">
        <v>143</v>
      </c>
      <c r="G410" s="25" t="s">
        <v>144</v>
      </c>
      <c r="H410" s="20" t="s">
        <v>145</v>
      </c>
      <c r="I410" s="222"/>
      <c r="J410" s="13"/>
    </row>
    <row r="411" spans="1:10" ht="14.1" customHeight="1" x14ac:dyDescent="0.25">
      <c r="A411" s="216"/>
      <c r="B411" s="74"/>
      <c r="C411" s="263" t="s">
        <v>116</v>
      </c>
      <c r="D411" s="10"/>
      <c r="E411" s="26">
        <f>E413+E412</f>
        <v>0</v>
      </c>
      <c r="F411" s="26">
        <f>F413+F412</f>
        <v>2196.7471299999997</v>
      </c>
      <c r="G411" s="87"/>
      <c r="H411" s="26">
        <f>SUM(H412:H413)</f>
        <v>1387.6323299999999</v>
      </c>
      <c r="I411" s="27"/>
      <c r="J411" s="132"/>
    </row>
    <row r="412" spans="1:10" ht="14.1" customHeight="1" x14ac:dyDescent="0.25">
      <c r="A412" s="216"/>
      <c r="B412" s="74"/>
      <c r="C412" s="29" t="s">
        <v>8</v>
      </c>
      <c r="D412" s="206"/>
      <c r="E412" s="207">
        <f>0</f>
        <v>0</v>
      </c>
      <c r="F412" s="207">
        <f>1713.27513</f>
        <v>1713.27513</v>
      </c>
      <c r="G412" s="208"/>
      <c r="H412" s="207">
        <f>1082.54115</f>
        <v>1082.54115</v>
      </c>
      <c r="I412" s="152"/>
      <c r="J412" s="132"/>
    </row>
    <row r="413" spans="1:10" ht="14.1" customHeight="1" x14ac:dyDescent="0.25">
      <c r="A413" s="216"/>
      <c r="B413" s="74"/>
      <c r="C413" s="29" t="s">
        <v>11</v>
      </c>
      <c r="D413" s="209"/>
      <c r="E413" s="210">
        <f>0</f>
        <v>0</v>
      </c>
      <c r="F413" s="210">
        <f>483.472</f>
        <v>483.47199999999998</v>
      </c>
      <c r="G413" s="211"/>
      <c r="H413" s="210">
        <f>305.09118</f>
        <v>305.09118000000001</v>
      </c>
      <c r="I413" s="152"/>
      <c r="J413" s="132"/>
    </row>
    <row r="414" spans="1:10" ht="14.1" customHeight="1" x14ac:dyDescent="0.25">
      <c r="A414" s="216"/>
      <c r="B414" s="74"/>
      <c r="C414" s="263" t="s">
        <v>117</v>
      </c>
      <c r="D414" s="10"/>
      <c r="E414" s="26">
        <f>SUM(E415:E416)</f>
        <v>0</v>
      </c>
      <c r="F414" s="26">
        <f>SUM(F415:F416)</f>
        <v>1463.1168499999999</v>
      </c>
      <c r="G414" s="87"/>
      <c r="H414" s="26">
        <f>SUM(H415:H416)</f>
        <v>1811.0628700000002</v>
      </c>
      <c r="I414" s="27"/>
      <c r="J414" s="132"/>
    </row>
    <row r="415" spans="1:10" ht="14.1" customHeight="1" x14ac:dyDescent="0.25">
      <c r="A415" s="216"/>
      <c r="B415" s="74"/>
      <c r="C415" s="29" t="s">
        <v>8</v>
      </c>
      <c r="D415" s="44"/>
      <c r="E415" s="30">
        <f>0</f>
        <v>0</v>
      </c>
      <c r="F415" s="30">
        <f>1123.27877</f>
        <v>1123.2787699999999</v>
      </c>
      <c r="G415" s="99"/>
      <c r="H415" s="30">
        <f>1413.4299</f>
        <v>1413.4299000000001</v>
      </c>
      <c r="I415" s="152"/>
      <c r="J415" s="132"/>
    </row>
    <row r="416" spans="1:10" ht="14.1" customHeight="1" x14ac:dyDescent="0.25">
      <c r="A416" s="216"/>
      <c r="B416" s="74"/>
      <c r="C416" s="29" t="s">
        <v>11</v>
      </c>
      <c r="D416" s="219"/>
      <c r="E416" s="30">
        <f>0</f>
        <v>0</v>
      </c>
      <c r="F416" s="30">
        <f>339.83808</f>
        <v>339.83807999999999</v>
      </c>
      <c r="G416" s="110"/>
      <c r="H416" s="30">
        <f>397.63297</f>
        <v>397.63297</v>
      </c>
      <c r="I416" s="152"/>
      <c r="J416" s="132"/>
    </row>
    <row r="417" spans="1:10" ht="14.1" customHeight="1" x14ac:dyDescent="0.25">
      <c r="A417" s="216"/>
      <c r="B417" s="74"/>
      <c r="C417" s="263" t="s">
        <v>118</v>
      </c>
      <c r="D417" s="10"/>
      <c r="E417" s="36">
        <f>SUM(E418:E419)</f>
        <v>47.137999999999998</v>
      </c>
      <c r="F417" s="36">
        <f>SUM(F418:F419)</f>
        <v>313.62243999999998</v>
      </c>
      <c r="G417" s="87"/>
      <c r="H417" s="36">
        <f>SUM(H418:H419)</f>
        <v>683.10221999999999</v>
      </c>
      <c r="I417" s="152"/>
      <c r="J417" s="132"/>
    </row>
    <row r="418" spans="1:10" ht="14.1" customHeight="1" x14ac:dyDescent="0.25">
      <c r="A418" s="216"/>
      <c r="B418" s="74"/>
      <c r="C418" s="29" t="s">
        <v>8</v>
      </c>
      <c r="D418" s="44"/>
      <c r="E418" s="30">
        <f>32.635</f>
        <v>32.634999999999998</v>
      </c>
      <c r="F418" s="30">
        <f>231.24813</f>
        <v>231.24813</v>
      </c>
      <c r="G418" s="99"/>
      <c r="H418" s="30">
        <f>544.08898</f>
        <v>544.08897999999999</v>
      </c>
      <c r="I418" s="152"/>
      <c r="J418" s="132"/>
    </row>
    <row r="419" spans="1:10" ht="14.1" customHeight="1" x14ac:dyDescent="0.25">
      <c r="A419" s="216"/>
      <c r="B419" s="74"/>
      <c r="C419" s="29" t="s">
        <v>11</v>
      </c>
      <c r="D419" s="219"/>
      <c r="E419" s="30">
        <f>14.503</f>
        <v>14.503</v>
      </c>
      <c r="F419" s="30">
        <f>82.37431</f>
        <v>82.374309999999994</v>
      </c>
      <c r="G419" s="110"/>
      <c r="H419" s="30">
        <f>139.01324</f>
        <v>139.01324</v>
      </c>
      <c r="I419" s="152"/>
      <c r="J419" s="132"/>
    </row>
    <row r="420" spans="1:10" ht="14.1" customHeight="1" x14ac:dyDescent="0.25">
      <c r="A420" s="216"/>
      <c r="B420" s="74"/>
      <c r="C420" s="277" t="s">
        <v>98</v>
      </c>
      <c r="D420" s="37"/>
      <c r="E420" s="39"/>
      <c r="F420" s="39"/>
      <c r="G420" s="40"/>
      <c r="H420" s="39"/>
      <c r="I420" s="152"/>
      <c r="J420" s="132"/>
    </row>
    <row r="421" spans="1:10" ht="14.1" customHeight="1" x14ac:dyDescent="0.25">
      <c r="A421" s="216"/>
      <c r="B421" s="74"/>
      <c r="C421" s="283" t="s">
        <v>88</v>
      </c>
      <c r="D421" s="41"/>
      <c r="E421" s="42">
        <f>E411+E414+E417+E420</f>
        <v>47.137999999999998</v>
      </c>
      <c r="F421" s="42">
        <f>F411+F414+F417+F420</f>
        <v>3973.4864199999997</v>
      </c>
      <c r="G421" s="43"/>
      <c r="H421" s="42">
        <f>H411+H414+H417+H420</f>
        <v>3881.7974199999999</v>
      </c>
      <c r="I421" s="27"/>
      <c r="J421" s="132"/>
    </row>
    <row r="422" spans="1:10" ht="18.75" customHeight="1" x14ac:dyDescent="0.25">
      <c r="A422" s="216"/>
      <c r="B422" s="74"/>
      <c r="C422" s="152" t="s">
        <v>140</v>
      </c>
      <c r="D422" s="159"/>
      <c r="E422" s="152"/>
      <c r="F422" s="152"/>
      <c r="G422" s="152"/>
      <c r="H422" s="152"/>
      <c r="I422" s="152"/>
      <c r="J422" s="132"/>
    </row>
    <row r="423" spans="1:10" ht="14.1" customHeight="1" x14ac:dyDescent="0.25">
      <c r="A423" s="216"/>
      <c r="B423" s="8"/>
      <c r="C423" s="212" t="s">
        <v>141</v>
      </c>
      <c r="D423" s="202"/>
      <c r="E423" s="212"/>
      <c r="F423" s="212"/>
      <c r="G423" s="212"/>
      <c r="H423" s="212"/>
      <c r="I423" s="212"/>
      <c r="J423" s="12"/>
    </row>
    <row r="424" spans="1:10" ht="0" hidden="1" customHeight="1" x14ac:dyDescent="0.25"/>
    <row r="425" spans="1:10" ht="0" hidden="1" customHeight="1" x14ac:dyDescent="0.25"/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16.5" customHeight="1" x14ac:dyDescent="0.25"/>
  </sheetData>
  <mergeCells count="11">
    <mergeCell ref="C52:H52"/>
    <mergeCell ref="D55:D59"/>
    <mergeCell ref="G55:G59"/>
    <mergeCell ref="C81:D81"/>
    <mergeCell ref="E81:F81"/>
    <mergeCell ref="G81:H81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42&amp;R23.10.2023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2023-10-23T07:36:54Z</dcterms:modified>
</cp:coreProperties>
</file>